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50" windowWidth="19305" windowHeight="10785" tabRatio="951" firstSheet="5" activeTab="35"/>
  </bookViews>
  <sheets>
    <sheet name="Р.1" sheetId="1" r:id="rId1"/>
    <sheet name="Р.2" sheetId="2" r:id="rId2"/>
    <sheet name="3.1.1." sheetId="3" state="hidden" r:id="rId3"/>
    <sheet name="3.1.2" sheetId="4" state="hidden" r:id="rId4"/>
    <sheet name="3.1.3" sheetId="5" state="hidden" r:id="rId5"/>
    <sheet name="3.2.1(доходы)" sheetId="6" r:id="rId6"/>
    <sheet name="3.2.2" sheetId="7" r:id="rId7"/>
    <sheet name="3.2.3(р.п)" sheetId="8" r:id="rId8"/>
    <sheet name="3.2.4(кр)" sheetId="9" r:id="rId9"/>
    <sheet name="3.2.5" sheetId="10" state="hidden" r:id="rId10"/>
    <sheet name="3.3.1" sheetId="11" state="hidden" r:id="rId11"/>
    <sheet name="3.4.1" sheetId="12" r:id="rId12"/>
    <sheet name="3.5.1" sheetId="13" state="hidden" r:id="rId13"/>
    <sheet name="3.6.1(211общ)" sheetId="14" r:id="rId14"/>
    <sheet name="3.6.3(211)" sheetId="15" r:id="rId15"/>
    <sheet name="3.6.4" sheetId="16" r:id="rId16"/>
    <sheet name="3.6.5" sheetId="17" r:id="rId17"/>
    <sheet name="3.7.1" sheetId="18" r:id="rId18"/>
    <sheet name="3.7.2(213)" sheetId="19" r:id="rId19"/>
    <sheet name="3.8.1" sheetId="20" state="hidden" r:id="rId20"/>
    <sheet name="3.8.2(проезд)" sheetId="21" r:id="rId21"/>
    <sheet name="3.9" sheetId="22" state="hidden" r:id="rId22"/>
    <sheet name="3.10(госпошлина)" sheetId="23" r:id="rId23"/>
    <sheet name="3.11" sheetId="24" state="hidden" r:id="rId24"/>
    <sheet name="3.12(проезд)" sheetId="25" state="hidden" r:id="rId25"/>
    <sheet name="3.13.1" sheetId="26" r:id="rId26"/>
    <sheet name="3.13.2(221)" sheetId="27" r:id="rId27"/>
    <sheet name="3.13.3" sheetId="28" state="hidden" r:id="rId28"/>
    <sheet name="3.13.4(223)" sheetId="29" r:id="rId29"/>
    <sheet name="3.13.5" sheetId="30" state="hidden" r:id="rId30"/>
    <sheet name="3.13.6(225)" sheetId="31" r:id="rId31"/>
    <sheet name="3.13.7" sheetId="32" state="hidden" r:id="rId32"/>
    <sheet name="3.13.8(обуч)" sheetId="33" state="hidden" r:id="rId33"/>
    <sheet name="3.13.9(226)" sheetId="37" r:id="rId34"/>
    <sheet name="3.13.10(310)" sheetId="38" r:id="rId35"/>
    <sheet name="3.13.11(340)" sheetId="39" r:id="rId36"/>
    <sheet name="Лист1" sheetId="40" r:id="rId37"/>
  </sheets>
  <definedNames>
    <definedName name="_xlnm._FilterDatabase" localSheetId="35" hidden="1">'3.13.11(340)'!$A$3:$P$21</definedName>
    <definedName name="_xlnm._FilterDatabase" localSheetId="28" hidden="1">'3.13.4(223)'!$A$1:$O$31</definedName>
    <definedName name="_xlnm.Print_Area" localSheetId="22">'3.10(госпошлина)'!$A$1:$K$17</definedName>
    <definedName name="_xlnm.Print_Area" localSheetId="24">'3.12(проезд)'!$A$1:$K$17</definedName>
    <definedName name="_xlnm.Print_Area" localSheetId="25">'3.13.1'!$A$1:$O$75</definedName>
    <definedName name="_xlnm.Print_Area" localSheetId="34">'3.13.10(310)'!$A$1:$K$82</definedName>
    <definedName name="_xlnm.Print_Area" localSheetId="35">'3.13.11(340)'!$A$1:$K$92</definedName>
    <definedName name="_xlnm.Print_Area" localSheetId="26">'3.13.2(221)'!$A$1:$N$8</definedName>
    <definedName name="_xlnm.Print_Area" localSheetId="28">'3.13.4(223)'!$A$1:$K$23</definedName>
    <definedName name="_xlnm.Print_Area" localSheetId="30">'3.13.6(225)'!$A$1:$K$55</definedName>
    <definedName name="_xlnm.Print_Area" localSheetId="32">'3.13.8(обуч)'!$A$1:$K$9</definedName>
    <definedName name="_xlnm.Print_Area" localSheetId="33">'3.13.9(226)'!$A$1:$H$67</definedName>
    <definedName name="_xlnm.Print_Area" localSheetId="6">'3.2.2'!$A$1:$K$12</definedName>
    <definedName name="_xlnm.Print_Area" localSheetId="8">'3.2.4(кр)'!$A$1:$K$18</definedName>
    <definedName name="_xlnm.Print_Area" localSheetId="11">'3.4.1'!$A$1:$E$20</definedName>
    <definedName name="_xlnm.Print_Area" localSheetId="14">'3.6.3(211)'!$A$1:$N$87</definedName>
    <definedName name="_xlnm.Print_Area" localSheetId="15">'3.6.4'!$A$1:$N$72</definedName>
    <definedName name="_xlnm.Print_Area" localSheetId="16">'3.6.5'!$A$1:$N$72</definedName>
    <definedName name="_xlnm.Print_Area" localSheetId="18">'3.7.2(213)'!$A$1:$H$88</definedName>
    <definedName name="_xlnm.Print_Area" localSheetId="19">'3.8.1'!$A$1:$N$18</definedName>
    <definedName name="_xlnm.Print_Area" localSheetId="20">'3.8.2(проезд)'!$A$1:$N$8</definedName>
    <definedName name="_xlnm.Print_Area" localSheetId="0">Р.1!$A$1:$K$97</definedName>
    <definedName name="_xlnm.Print_Area" localSheetId="1">Р.2!$A$1:$I$61</definedName>
  </definedNames>
  <calcPr calcId="145621" refMode="R1C1"/>
</workbook>
</file>

<file path=xl/calcChain.xml><?xml version="1.0" encoding="utf-8"?>
<calcChain xmlns="http://schemas.openxmlformats.org/spreadsheetml/2006/main">
  <c r="K7" i="21" l="1"/>
  <c r="J7" i="21"/>
  <c r="I7" i="21"/>
  <c r="H14" i="37" l="1"/>
  <c r="G14" i="37"/>
  <c r="J13" i="37"/>
  <c r="F10" i="2" l="1"/>
  <c r="M40" i="1" l="1"/>
  <c r="M42" i="1"/>
  <c r="M44" i="1"/>
  <c r="M47" i="1"/>
  <c r="M48" i="1"/>
  <c r="M49" i="1"/>
  <c r="M50" i="1"/>
  <c r="M51" i="1"/>
  <c r="M52" i="1"/>
  <c r="M53" i="1"/>
  <c r="M54" i="1"/>
  <c r="M55" i="1"/>
  <c r="M58" i="1"/>
  <c r="M60" i="1"/>
  <c r="M61" i="1"/>
  <c r="M62" i="1"/>
  <c r="M63" i="1"/>
  <c r="M65" i="1"/>
  <c r="M66" i="1"/>
  <c r="M68" i="1"/>
  <c r="M69" i="1"/>
  <c r="M70" i="1"/>
  <c r="M71" i="1"/>
  <c r="M72" i="1"/>
  <c r="M73" i="1"/>
  <c r="M74" i="1"/>
  <c r="M75" i="1"/>
  <c r="M76" i="1"/>
  <c r="M78" i="1"/>
  <c r="M80" i="1"/>
  <c r="M81" i="1"/>
  <c r="M82" i="1"/>
  <c r="H22" i="19"/>
  <c r="P8" i="17"/>
  <c r="H66" i="19"/>
  <c r="G66" i="19"/>
  <c r="F66" i="19"/>
  <c r="J16" i="29"/>
  <c r="J15" i="29"/>
  <c r="J14" i="29"/>
  <c r="J13" i="29"/>
  <c r="J12" i="29"/>
  <c r="J11" i="29"/>
  <c r="J10" i="29"/>
  <c r="J9" i="29"/>
  <c r="J8" i="29"/>
  <c r="J7" i="29"/>
  <c r="F84" i="1" s="1"/>
  <c r="I7" i="29"/>
  <c r="J7" i="7"/>
  <c r="J8" i="7"/>
  <c r="J9" i="7"/>
  <c r="J10" i="7"/>
  <c r="J11" i="7"/>
  <c r="J8" i="8" l="1"/>
  <c r="K8" i="8"/>
  <c r="J53" i="31"/>
  <c r="K40" i="38"/>
  <c r="M12" i="39" l="1"/>
  <c r="M13" i="39"/>
  <c r="M14" i="39"/>
  <c r="M15" i="39"/>
  <c r="M16" i="39"/>
  <c r="M17" i="39"/>
  <c r="M18" i="39"/>
  <c r="M19" i="39"/>
  <c r="M20" i="39"/>
  <c r="H9" i="39"/>
  <c r="H10" i="39"/>
  <c r="H11" i="39"/>
  <c r="H12" i="39"/>
  <c r="H13" i="39"/>
  <c r="H14" i="39"/>
  <c r="H15" i="39"/>
  <c r="H16" i="39"/>
  <c r="H17" i="39"/>
  <c r="H18" i="39"/>
  <c r="H19" i="39"/>
  <c r="H20" i="39"/>
  <c r="G9" i="39"/>
  <c r="G10" i="39"/>
  <c r="G11" i="39"/>
  <c r="G12" i="39"/>
  <c r="G13" i="39"/>
  <c r="G14" i="39"/>
  <c r="G15" i="39"/>
  <c r="G16" i="39"/>
  <c r="G17" i="39"/>
  <c r="G18" i="39"/>
  <c r="G19" i="39"/>
  <c r="G20" i="39"/>
  <c r="F16" i="39"/>
  <c r="F14" i="39"/>
  <c r="F13" i="39"/>
  <c r="F12" i="39"/>
  <c r="M19" i="38"/>
  <c r="M20" i="38"/>
  <c r="M21" i="38"/>
  <c r="M22" i="38"/>
  <c r="M23" i="38"/>
  <c r="H40" i="38"/>
  <c r="H39" i="38"/>
  <c r="F19" i="38"/>
  <c r="F20" i="38"/>
  <c r="F21" i="38"/>
  <c r="F22" i="38"/>
  <c r="F23" i="38"/>
  <c r="B19" i="38"/>
  <c r="B20" i="38" s="1"/>
  <c r="B21" i="38" s="1"/>
  <c r="B22" i="38" s="1"/>
  <c r="B23" i="38" s="1"/>
  <c r="B36" i="37" l="1"/>
  <c r="B37" i="37" s="1"/>
  <c r="L23" i="29" l="1"/>
  <c r="M21" i="29"/>
  <c r="M22" i="29"/>
  <c r="J23" i="29"/>
  <c r="K8" i="29"/>
  <c r="K9" i="29"/>
  <c r="K10" i="29"/>
  <c r="K11" i="29"/>
  <c r="K12" i="29"/>
  <c r="K13" i="29"/>
  <c r="K14" i="29"/>
  <c r="K15" i="29"/>
  <c r="K16" i="29"/>
  <c r="K17" i="29"/>
  <c r="K18" i="29"/>
  <c r="K19" i="29"/>
  <c r="K20" i="29"/>
  <c r="K21" i="29"/>
  <c r="E21" i="29" s="1"/>
  <c r="K22" i="29"/>
  <c r="E22" i="29" s="1"/>
  <c r="D22" i="29"/>
  <c r="D21" i="29"/>
  <c r="I16" i="29"/>
  <c r="I15" i="29"/>
  <c r="I14" i="29"/>
  <c r="I13" i="29"/>
  <c r="C22" i="29"/>
  <c r="C21" i="29"/>
  <c r="I12" i="29"/>
  <c r="M12" i="29" s="1"/>
  <c r="I11" i="29"/>
  <c r="K7" i="29"/>
  <c r="I10" i="29"/>
  <c r="I9" i="29"/>
  <c r="I8" i="29"/>
  <c r="D84" i="1" s="1"/>
  <c r="I7" i="27"/>
  <c r="K7" i="27"/>
  <c r="J7" i="27"/>
  <c r="C71" i="17"/>
  <c r="C70" i="17"/>
  <c r="C69" i="17"/>
  <c r="C68" i="17"/>
  <c r="C67" i="17"/>
  <c r="C66" i="17"/>
  <c r="C65" i="17"/>
  <c r="C64" i="17"/>
  <c r="D63" i="17"/>
  <c r="D72" i="17" s="1"/>
  <c r="E13" i="14" s="1"/>
  <c r="C62" i="17"/>
  <c r="B62" i="17"/>
  <c r="B63" i="17" s="1"/>
  <c r="B64" i="17" s="1"/>
  <c r="B65" i="17" s="1"/>
  <c r="B66" i="17" s="1"/>
  <c r="B67" i="17" s="1"/>
  <c r="B68" i="17" s="1"/>
  <c r="B69" i="17" s="1"/>
  <c r="B70" i="17" s="1"/>
  <c r="B71" i="17" s="1"/>
  <c r="C61" i="17"/>
  <c r="F56" i="17"/>
  <c r="E56" i="17"/>
  <c r="J54" i="17"/>
  <c r="L54" i="17" s="1"/>
  <c r="D54" i="17" s="1"/>
  <c r="M54" i="17" s="1"/>
  <c r="J53" i="17"/>
  <c r="L53" i="17" s="1"/>
  <c r="D53" i="17" s="1"/>
  <c r="M53" i="17" s="1"/>
  <c r="J52" i="17"/>
  <c r="L52" i="17" s="1"/>
  <c r="D52" i="17" s="1"/>
  <c r="M52" i="17" s="1"/>
  <c r="J51" i="17"/>
  <c r="J50" i="17"/>
  <c r="L50" i="17" s="1"/>
  <c r="D50" i="17" s="1"/>
  <c r="M50" i="17" s="1"/>
  <c r="J49" i="17"/>
  <c r="L49" i="17" s="1"/>
  <c r="D49" i="17" s="1"/>
  <c r="M49" i="17" s="1"/>
  <c r="J48" i="17"/>
  <c r="L48" i="17" s="1"/>
  <c r="D48" i="17" s="1"/>
  <c r="M48" i="17" s="1"/>
  <c r="J47" i="17"/>
  <c r="J46" i="17"/>
  <c r="L46" i="17" s="1"/>
  <c r="D46" i="17" s="1"/>
  <c r="M46" i="17" s="1"/>
  <c r="J45" i="17"/>
  <c r="L45" i="17" s="1"/>
  <c r="D45" i="17" s="1"/>
  <c r="M45" i="17" s="1"/>
  <c r="J44" i="17"/>
  <c r="L44" i="17" s="1"/>
  <c r="D44" i="17" s="1"/>
  <c r="M44" i="17" s="1"/>
  <c r="B44" i="17"/>
  <c r="B45" i="17" s="1"/>
  <c r="B46" i="17" s="1"/>
  <c r="B47" i="17" s="1"/>
  <c r="B48" i="17" s="1"/>
  <c r="B49" i="17" s="1"/>
  <c r="B50" i="17" s="1"/>
  <c r="B51" i="17" s="1"/>
  <c r="B52" i="17" s="1"/>
  <c r="B53" i="17" s="1"/>
  <c r="B54" i="17" s="1"/>
  <c r="B55" i="17" s="1"/>
  <c r="J43" i="17"/>
  <c r="I35" i="17"/>
  <c r="H35" i="17"/>
  <c r="F35" i="17"/>
  <c r="M33" i="17"/>
  <c r="K33" i="17"/>
  <c r="D33" i="17"/>
  <c r="N33" i="17" s="1"/>
  <c r="M32" i="17"/>
  <c r="K32" i="17"/>
  <c r="M31" i="17"/>
  <c r="K31" i="17"/>
  <c r="D31" i="17" s="1"/>
  <c r="N31" i="17" s="1"/>
  <c r="M30" i="17"/>
  <c r="K30" i="17"/>
  <c r="M29" i="17"/>
  <c r="K29" i="17"/>
  <c r="M28" i="17"/>
  <c r="K28" i="17"/>
  <c r="D28" i="17" s="1"/>
  <c r="N28" i="17" s="1"/>
  <c r="M27" i="17"/>
  <c r="K27" i="17"/>
  <c r="D27" i="17" s="1"/>
  <c r="N27" i="17" s="1"/>
  <c r="M26" i="17"/>
  <c r="K26" i="17"/>
  <c r="M25" i="17"/>
  <c r="K25" i="17"/>
  <c r="D25" i="17" s="1"/>
  <c r="N25" i="17" s="1"/>
  <c r="B25" i="17"/>
  <c r="B26" i="17" s="1"/>
  <c r="B27" i="17" s="1"/>
  <c r="B28" i="17" s="1"/>
  <c r="B29" i="17" s="1"/>
  <c r="B30" i="17" s="1"/>
  <c r="B31" i="17" s="1"/>
  <c r="B32" i="17" s="1"/>
  <c r="B33" i="17" s="1"/>
  <c r="B34" i="17" s="1"/>
  <c r="D24" i="17"/>
  <c r="F16" i="17"/>
  <c r="K14" i="17"/>
  <c r="I14" i="17"/>
  <c r="I13" i="17"/>
  <c r="K13" i="17" s="1"/>
  <c r="D13" i="17" s="1"/>
  <c r="L13" i="17" s="1"/>
  <c r="I12" i="17"/>
  <c r="K12" i="17" s="1"/>
  <c r="D12" i="17" s="1"/>
  <c r="L12" i="17" s="1"/>
  <c r="I11" i="17"/>
  <c r="K11" i="17" s="1"/>
  <c r="D11" i="17" s="1"/>
  <c r="L11" i="17" s="1"/>
  <c r="I10" i="17"/>
  <c r="B10" i="17"/>
  <c r="B11" i="17" s="1"/>
  <c r="B12" i="17" s="1"/>
  <c r="B13" i="17" s="1"/>
  <c r="B14" i="17" s="1"/>
  <c r="B15" i="17" s="1"/>
  <c r="I9" i="17"/>
  <c r="K9" i="17" s="1"/>
  <c r="D9" i="17" s="1"/>
  <c r="C71" i="16"/>
  <c r="C70" i="16"/>
  <c r="C69" i="16"/>
  <c r="C68" i="16"/>
  <c r="C67" i="16"/>
  <c r="C66" i="16"/>
  <c r="C65" i="16"/>
  <c r="C64" i="16"/>
  <c r="D63" i="16"/>
  <c r="D72" i="16" s="1"/>
  <c r="C62" i="16"/>
  <c r="B62" i="16"/>
  <c r="B63" i="16" s="1"/>
  <c r="B64" i="16" s="1"/>
  <c r="B65" i="16" s="1"/>
  <c r="B66" i="16" s="1"/>
  <c r="B67" i="16" s="1"/>
  <c r="B68" i="16" s="1"/>
  <c r="B69" i="16" s="1"/>
  <c r="B70" i="16" s="1"/>
  <c r="B71" i="16" s="1"/>
  <c r="C61" i="16"/>
  <c r="F56" i="16"/>
  <c r="E56" i="16"/>
  <c r="J54" i="16"/>
  <c r="L54" i="16" s="1"/>
  <c r="D54" i="16" s="1"/>
  <c r="M54" i="16" s="1"/>
  <c r="J53" i="16"/>
  <c r="L53" i="16" s="1"/>
  <c r="D53" i="16" s="1"/>
  <c r="M53" i="16" s="1"/>
  <c r="J52" i="16"/>
  <c r="L52" i="16" s="1"/>
  <c r="D52" i="16" s="1"/>
  <c r="M52" i="16" s="1"/>
  <c r="J51" i="16"/>
  <c r="J50" i="16"/>
  <c r="L50" i="16" s="1"/>
  <c r="D50" i="16" s="1"/>
  <c r="M50" i="16" s="1"/>
  <c r="J49" i="16"/>
  <c r="L49" i="16" s="1"/>
  <c r="D49" i="16" s="1"/>
  <c r="M49" i="16" s="1"/>
  <c r="J48" i="16"/>
  <c r="L48" i="16" s="1"/>
  <c r="D48" i="16" s="1"/>
  <c r="M48" i="16" s="1"/>
  <c r="J47" i="16"/>
  <c r="J46" i="16"/>
  <c r="L46" i="16" s="1"/>
  <c r="D46" i="16" s="1"/>
  <c r="M46" i="16" s="1"/>
  <c r="J45" i="16"/>
  <c r="L45" i="16" s="1"/>
  <c r="D45" i="16" s="1"/>
  <c r="M45" i="16" s="1"/>
  <c r="J44" i="16"/>
  <c r="L44" i="16" s="1"/>
  <c r="D44" i="16" s="1"/>
  <c r="M44" i="16" s="1"/>
  <c r="B44" i="16"/>
  <c r="B45" i="16" s="1"/>
  <c r="B46" i="16" s="1"/>
  <c r="B47" i="16" s="1"/>
  <c r="B48" i="16" s="1"/>
  <c r="B49" i="16" s="1"/>
  <c r="B50" i="16" s="1"/>
  <c r="B51" i="16" s="1"/>
  <c r="B52" i="16" s="1"/>
  <c r="B53" i="16" s="1"/>
  <c r="B54" i="16" s="1"/>
  <c r="B55" i="16" s="1"/>
  <c r="J43" i="16"/>
  <c r="P51" i="15"/>
  <c r="I35" i="16"/>
  <c r="H35" i="16"/>
  <c r="F35" i="16"/>
  <c r="M33" i="16"/>
  <c r="K33" i="16"/>
  <c r="D33" i="16" s="1"/>
  <c r="N33" i="16" s="1"/>
  <c r="M32" i="16"/>
  <c r="K32" i="16"/>
  <c r="D32" i="16" s="1"/>
  <c r="N32" i="16" s="1"/>
  <c r="M31" i="16"/>
  <c r="K31" i="16"/>
  <c r="M30" i="16"/>
  <c r="K30" i="16"/>
  <c r="M29" i="16"/>
  <c r="K29" i="16"/>
  <c r="D29" i="16"/>
  <c r="N29" i="16" s="1"/>
  <c r="M28" i="16"/>
  <c r="K28" i="16"/>
  <c r="D28" i="16" s="1"/>
  <c r="N28" i="16" s="1"/>
  <c r="M27" i="16"/>
  <c r="K27" i="16"/>
  <c r="M26" i="16"/>
  <c r="K26" i="16"/>
  <c r="M25" i="16"/>
  <c r="K25" i="16"/>
  <c r="D25" i="16" s="1"/>
  <c r="N25" i="16" s="1"/>
  <c r="B25" i="16"/>
  <c r="B26" i="16" s="1"/>
  <c r="B27" i="16" s="1"/>
  <c r="B28" i="16" s="1"/>
  <c r="B29" i="16" s="1"/>
  <c r="B30" i="16" s="1"/>
  <c r="B31" i="16" s="1"/>
  <c r="B32" i="16" s="1"/>
  <c r="B33" i="16" s="1"/>
  <c r="B34" i="16" s="1"/>
  <c r="D24" i="16"/>
  <c r="F16" i="16"/>
  <c r="K14" i="16"/>
  <c r="I14" i="16"/>
  <c r="D14" i="16" s="1"/>
  <c r="L14" i="16" s="1"/>
  <c r="I13" i="16"/>
  <c r="K13" i="16" s="1"/>
  <c r="D13" i="16" s="1"/>
  <c r="L13" i="16" s="1"/>
  <c r="I12" i="16"/>
  <c r="K12" i="16" s="1"/>
  <c r="D12" i="16" s="1"/>
  <c r="L12" i="16" s="1"/>
  <c r="I11" i="16"/>
  <c r="I10" i="16"/>
  <c r="B10" i="16"/>
  <c r="B11" i="16" s="1"/>
  <c r="B12" i="16" s="1"/>
  <c r="B13" i="16" s="1"/>
  <c r="B14" i="16" s="1"/>
  <c r="B15" i="16" s="1"/>
  <c r="I9" i="16"/>
  <c r="C86" i="15"/>
  <c r="C85" i="15"/>
  <c r="C84" i="15"/>
  <c r="C83" i="15"/>
  <c r="C82" i="15"/>
  <c r="C81" i="15"/>
  <c r="C80" i="15"/>
  <c r="C79" i="15"/>
  <c r="C77" i="15"/>
  <c r="C76" i="15"/>
  <c r="D78" i="15"/>
  <c r="C78" i="15" s="1"/>
  <c r="D31" i="16" l="1"/>
  <c r="N31" i="16" s="1"/>
  <c r="C63" i="16"/>
  <c r="D14" i="17"/>
  <c r="L14" i="17" s="1"/>
  <c r="D26" i="17"/>
  <c r="P25" i="17" s="1"/>
  <c r="D29" i="17"/>
  <c r="N29" i="17" s="1"/>
  <c r="D32" i="17"/>
  <c r="N32" i="17" s="1"/>
  <c r="C63" i="17"/>
  <c r="K23" i="29"/>
  <c r="H84" i="1"/>
  <c r="I23" i="29"/>
  <c r="Q23" i="29" s="1"/>
  <c r="D30" i="17"/>
  <c r="N30" i="17" s="1"/>
  <c r="L43" i="17"/>
  <c r="D43" i="17" s="1"/>
  <c r="L47" i="17"/>
  <c r="D47" i="17" s="1"/>
  <c r="M47" i="17" s="1"/>
  <c r="L51" i="17"/>
  <c r="D51" i="17" s="1"/>
  <c r="M51" i="17" s="1"/>
  <c r="N26" i="17"/>
  <c r="N24" i="17"/>
  <c r="L9" i="17"/>
  <c r="K10" i="17"/>
  <c r="D10" i="17" s="1"/>
  <c r="K9" i="16"/>
  <c r="D9" i="16" s="1"/>
  <c r="L9" i="16" s="1"/>
  <c r="K10" i="16"/>
  <c r="D10" i="16" s="1"/>
  <c r="L10" i="16" s="1"/>
  <c r="D30" i="16"/>
  <c r="N30" i="16" s="1"/>
  <c r="D26" i="16"/>
  <c r="N26" i="16" s="1"/>
  <c r="D27" i="16"/>
  <c r="N27" i="16" s="1"/>
  <c r="L43" i="16"/>
  <c r="L47" i="16"/>
  <c r="D47" i="16" s="1"/>
  <c r="M47" i="16" s="1"/>
  <c r="L51" i="16"/>
  <c r="D51" i="16" s="1"/>
  <c r="M51" i="16" s="1"/>
  <c r="N24" i="16"/>
  <c r="K11" i="16"/>
  <c r="D11" i="16" s="1"/>
  <c r="M43" i="17" l="1"/>
  <c r="L10" i="17"/>
  <c r="P25" i="16"/>
  <c r="D43" i="16"/>
  <c r="L11" i="16"/>
  <c r="M43" i="16" l="1"/>
  <c r="P24" i="15" l="1"/>
  <c r="M32" i="15"/>
  <c r="K32" i="15"/>
  <c r="H10" i="9"/>
  <c r="H12" i="9"/>
  <c r="H14" i="9"/>
  <c r="H16" i="9"/>
  <c r="F8" i="9"/>
  <c r="F10" i="9"/>
  <c r="F11" i="9"/>
  <c r="F12" i="9"/>
  <c r="F13" i="9"/>
  <c r="F14" i="9"/>
  <c r="F15" i="9"/>
  <c r="F16" i="9"/>
  <c r="F17" i="9"/>
  <c r="I9" i="9"/>
  <c r="J9" i="9" s="1"/>
  <c r="J8" i="9"/>
  <c r="K8" i="9"/>
  <c r="H8" i="9" s="1"/>
  <c r="J10" i="9"/>
  <c r="G10" i="9" s="1"/>
  <c r="K10" i="9"/>
  <c r="J11" i="9"/>
  <c r="G11" i="9" s="1"/>
  <c r="K11" i="9"/>
  <c r="H11" i="9" s="1"/>
  <c r="J12" i="9"/>
  <c r="G12" i="9" s="1"/>
  <c r="K12" i="9"/>
  <c r="J13" i="9"/>
  <c r="G13" i="9" s="1"/>
  <c r="K13" i="9"/>
  <c r="H13" i="9" s="1"/>
  <c r="J14" i="9"/>
  <c r="G14" i="9" s="1"/>
  <c r="K14" i="9"/>
  <c r="J15" i="9"/>
  <c r="G15" i="9" s="1"/>
  <c r="K15" i="9"/>
  <c r="H15" i="9" s="1"/>
  <c r="J16" i="9"/>
  <c r="G16" i="9" s="1"/>
  <c r="K16" i="9"/>
  <c r="J17" i="9"/>
  <c r="G17" i="9" s="1"/>
  <c r="K17" i="9"/>
  <c r="H17" i="9" s="1"/>
  <c r="K7" i="9"/>
  <c r="H7" i="9" s="1"/>
  <c r="J7" i="9"/>
  <c r="G7" i="9" s="1"/>
  <c r="D8" i="9"/>
  <c r="G8" i="9" s="1"/>
  <c r="E8" i="9"/>
  <c r="D10" i="9"/>
  <c r="E10" i="9"/>
  <c r="D11" i="9"/>
  <c r="E11" i="9"/>
  <c r="D12" i="9"/>
  <c r="E12" i="9"/>
  <c r="D13" i="9"/>
  <c r="E13" i="9"/>
  <c r="D14" i="9"/>
  <c r="E14" i="9"/>
  <c r="D15" i="9"/>
  <c r="E15" i="9"/>
  <c r="D16" i="9"/>
  <c r="E16" i="9"/>
  <c r="D17" i="9"/>
  <c r="E17" i="9"/>
  <c r="E7" i="9"/>
  <c r="D7" i="9"/>
  <c r="C9" i="9"/>
  <c r="E9" i="9" s="1"/>
  <c r="D9" i="9" l="1"/>
  <c r="G9" i="9" s="1"/>
  <c r="K9" i="9"/>
  <c r="H9" i="9" s="1"/>
  <c r="F9" i="9"/>
  <c r="D32" i="15"/>
  <c r="N32" i="15" s="1"/>
  <c r="G9" i="38" l="1"/>
  <c r="G8" i="38"/>
  <c r="F8" i="38"/>
  <c r="L54" i="38" l="1"/>
  <c r="L82" i="38" l="1"/>
  <c r="K81" i="38"/>
  <c r="K82" i="38" s="1"/>
  <c r="J81" i="38"/>
  <c r="J82" i="38" s="1"/>
  <c r="I82" i="38"/>
  <c r="G23" i="26" s="1"/>
  <c r="F81" i="38" l="1"/>
  <c r="M81" i="38"/>
  <c r="M82" i="38" s="1"/>
  <c r="J43" i="39" l="1"/>
  <c r="K43" i="39"/>
  <c r="L43" i="39"/>
  <c r="I43" i="39"/>
  <c r="M42" i="39"/>
  <c r="P44" i="16" l="1"/>
  <c r="F41" i="38" l="1"/>
  <c r="F45" i="38"/>
  <c r="F43" i="38"/>
  <c r="F32" i="38"/>
  <c r="F33" i="38"/>
  <c r="F34" i="38"/>
  <c r="F35" i="38"/>
  <c r="F36" i="38"/>
  <c r="F37" i="38"/>
  <c r="F38" i="38"/>
  <c r="F42" i="38"/>
  <c r="F44" i="38"/>
  <c r="F46" i="38"/>
  <c r="H9" i="38"/>
  <c r="G57" i="26" l="1"/>
  <c r="G33" i="26"/>
  <c r="L16" i="23" l="1"/>
  <c r="L17" i="23" s="1"/>
  <c r="A11" i="23"/>
  <c r="K17" i="23"/>
  <c r="J17" i="23"/>
  <c r="I17" i="23"/>
  <c r="E67" i="1" s="1"/>
  <c r="E64" i="1" s="1"/>
  <c r="M16" i="23" l="1"/>
  <c r="M17" i="23" s="1"/>
  <c r="F75" i="39" l="1"/>
  <c r="F91" i="39" l="1"/>
  <c r="J91" i="39"/>
  <c r="J92" i="39" s="1"/>
  <c r="G48" i="26" s="1"/>
  <c r="G37" i="26" s="1"/>
  <c r="G51" i="26" s="1"/>
  <c r="K91" i="39"/>
  <c r="K92" i="39" s="1"/>
  <c r="G72" i="26" s="1"/>
  <c r="G61" i="26" s="1"/>
  <c r="G75" i="26" s="1"/>
  <c r="I92" i="39"/>
  <c r="L92" i="39"/>
  <c r="A68" i="38"/>
  <c r="L74" i="38"/>
  <c r="K73" i="38"/>
  <c r="K74" i="38" s="1"/>
  <c r="J73" i="38"/>
  <c r="J74" i="38" s="1"/>
  <c r="M73" i="38"/>
  <c r="I54" i="38"/>
  <c r="M47" i="38"/>
  <c r="M48" i="38"/>
  <c r="M49" i="38"/>
  <c r="M50" i="38"/>
  <c r="M51" i="38"/>
  <c r="M52" i="38"/>
  <c r="M53" i="38"/>
  <c r="F10" i="38"/>
  <c r="M46" i="38"/>
  <c r="G24" i="26" l="1"/>
  <c r="G13" i="26" s="1"/>
  <c r="G27" i="26" s="1"/>
  <c r="M91" i="39"/>
  <c r="M92" i="39" s="1"/>
  <c r="M74" i="38"/>
  <c r="I74" i="38"/>
  <c r="F23" i="26" s="1"/>
  <c r="J55" i="31" l="1"/>
  <c r="K55" i="31"/>
  <c r="G48" i="38" l="1"/>
  <c r="G49" i="38"/>
  <c r="G50" i="38"/>
  <c r="G51" i="38"/>
  <c r="G52" i="38"/>
  <c r="G53" i="38"/>
  <c r="G47" i="38"/>
  <c r="M40" i="38" l="1"/>
  <c r="M42" i="38"/>
  <c r="M43" i="38"/>
  <c r="M44" i="38"/>
  <c r="M45" i="38"/>
  <c r="M41" i="38"/>
  <c r="I59" i="37" l="1"/>
  <c r="G59" i="37"/>
  <c r="H59" i="37"/>
  <c r="J76" i="39"/>
  <c r="K76" i="39"/>
  <c r="L76" i="39"/>
  <c r="I76" i="39"/>
  <c r="M75" i="39"/>
  <c r="H88" i="19"/>
  <c r="G88" i="19"/>
  <c r="F7" i="9"/>
  <c r="J58" i="37" l="1"/>
  <c r="D87" i="15"/>
  <c r="I21" i="39"/>
  <c r="M63" i="38"/>
  <c r="M64" i="38"/>
  <c r="F63" i="38"/>
  <c r="B62" i="38"/>
  <c r="B63" i="38" s="1"/>
  <c r="B64" i="38" s="1"/>
  <c r="B65" i="38" s="1"/>
  <c r="F64" i="38"/>
  <c r="J64" i="38"/>
  <c r="K64" i="38"/>
  <c r="M62" i="38"/>
  <c r="K62" i="38"/>
  <c r="J62" i="38"/>
  <c r="I38" i="37" l="1"/>
  <c r="G38" i="37"/>
  <c r="H38" i="37"/>
  <c r="F38" i="37"/>
  <c r="I24" i="38" l="1"/>
  <c r="A46" i="31"/>
  <c r="F59" i="37"/>
  <c r="A78" i="39" l="1"/>
  <c r="L84" i="39"/>
  <c r="M83" i="39"/>
  <c r="M84" i="39" s="1"/>
  <c r="K83" i="39"/>
  <c r="K84" i="39" s="1"/>
  <c r="E72" i="26" s="1"/>
  <c r="J83" i="39"/>
  <c r="J84" i="39" s="1"/>
  <c r="E48" i="26" s="1"/>
  <c r="I84" i="39"/>
  <c r="E24" i="26" s="1"/>
  <c r="F83" i="39"/>
  <c r="L66" i="38"/>
  <c r="K65" i="38"/>
  <c r="J65" i="38"/>
  <c r="M65" i="38"/>
  <c r="P9" i="15" l="1"/>
  <c r="J26" i="37" l="1"/>
  <c r="C14" i="26" l="1"/>
  <c r="C16" i="26"/>
  <c r="C18" i="26"/>
  <c r="C20" i="26"/>
  <c r="K61" i="38" l="1"/>
  <c r="J61" i="38"/>
  <c r="I66" i="38"/>
  <c r="E23" i="26" s="1"/>
  <c r="A56" i="38"/>
  <c r="E57" i="26"/>
  <c r="E33" i="26"/>
  <c r="M61" i="38" l="1"/>
  <c r="M66" i="38" s="1"/>
  <c r="J66" i="38"/>
  <c r="E47" i="26" s="1"/>
  <c r="E37" i="26" s="1"/>
  <c r="K66" i="38"/>
  <c r="E71" i="26" s="1"/>
  <c r="E61" i="26" s="1"/>
  <c r="E13" i="26"/>
  <c r="C15" i="12" s="1"/>
  <c r="E75" i="26" l="1"/>
  <c r="E51" i="26"/>
  <c r="E27" i="26"/>
  <c r="I9" i="23" l="1"/>
  <c r="D67" i="1" s="1"/>
  <c r="E20" i="29" l="1"/>
  <c r="E19" i="29"/>
  <c r="D20" i="29"/>
  <c r="D19" i="29"/>
  <c r="C20" i="29"/>
  <c r="C19" i="29"/>
  <c r="M20" i="29"/>
  <c r="M19" i="29"/>
  <c r="A2" i="9" l="1"/>
  <c r="A74" i="15"/>
  <c r="A59" i="16"/>
  <c r="A37" i="16"/>
  <c r="A18" i="16"/>
  <c r="A3" i="16"/>
  <c r="A59" i="17"/>
  <c r="A37" i="17"/>
  <c r="A18" i="17"/>
  <c r="A3" i="17"/>
  <c r="A68" i="19"/>
  <c r="A45" i="39"/>
  <c r="A23" i="39"/>
  <c r="A3" i="37"/>
  <c r="A3" i="33"/>
  <c r="B32" i="38" l="1"/>
  <c r="B33" i="38" s="1"/>
  <c r="B34" i="38" s="1"/>
  <c r="B35" i="38" s="1"/>
  <c r="B36" i="38" s="1"/>
  <c r="B37" i="38" s="1"/>
  <c r="B38" i="38" s="1"/>
  <c r="B39" i="38" s="1"/>
  <c r="B40" i="38" s="1"/>
  <c r="B41" i="38" s="1"/>
  <c r="B42" i="38" s="1"/>
  <c r="B43" i="38" s="1"/>
  <c r="B44" i="38" s="1"/>
  <c r="B45" i="38" s="1"/>
  <c r="B46" i="38" s="1"/>
  <c r="B47" i="38" s="1"/>
  <c r="B48" i="38" s="1"/>
  <c r="B49" i="38" s="1"/>
  <c r="B50" i="38" s="1"/>
  <c r="B51" i="38" s="1"/>
  <c r="B52" i="38" s="1"/>
  <c r="B53" i="38" s="1"/>
  <c r="J54" i="38"/>
  <c r="K54" i="38"/>
  <c r="F74" i="39"/>
  <c r="M38" i="38"/>
  <c r="A13" i="38"/>
  <c r="F66" i="39"/>
  <c r="H58" i="39"/>
  <c r="G58" i="39"/>
  <c r="F58" i="39"/>
  <c r="H50" i="39"/>
  <c r="G50" i="39"/>
  <c r="F50" i="39"/>
  <c r="F31" i="38"/>
  <c r="F18" i="38"/>
  <c r="I11" i="38" l="1"/>
  <c r="M9" i="38"/>
  <c r="H8" i="38"/>
  <c r="H10" i="38"/>
  <c r="G10" i="38"/>
  <c r="F9" i="38"/>
  <c r="I50" i="37" l="1"/>
  <c r="I27" i="31" l="1"/>
  <c r="I6" i="27"/>
  <c r="J9" i="23"/>
  <c r="K9" i="23"/>
  <c r="D64" i="1"/>
  <c r="L9" i="23"/>
  <c r="H7" i="8" l="1"/>
  <c r="G7" i="8"/>
  <c r="F7" i="8"/>
  <c r="F67" i="1" l="1"/>
  <c r="H67" i="1"/>
  <c r="M67" i="1" s="1"/>
  <c r="M8" i="23"/>
  <c r="M9" i="23" s="1"/>
  <c r="O88" i="15" l="1"/>
  <c r="P72" i="15" l="1"/>
  <c r="P43" i="15"/>
  <c r="I89" i="19"/>
  <c r="J88" i="19"/>
  <c r="J66" i="19"/>
  <c r="J44" i="19"/>
  <c r="J22" i="19"/>
  <c r="M8" i="25"/>
  <c r="M9" i="25" s="1"/>
  <c r="J89" i="19" l="1"/>
  <c r="P87" i="15" l="1"/>
  <c r="B71" i="15" l="1"/>
  <c r="C71" i="15" s="1"/>
  <c r="D71" i="15" s="1"/>
  <c r="E71" i="15" s="1"/>
  <c r="F71" i="15" s="1"/>
  <c r="G71" i="15" s="1"/>
  <c r="H71" i="15" s="1"/>
  <c r="I71" i="15" s="1"/>
  <c r="J71" i="15" s="1"/>
  <c r="K71" i="15" s="1"/>
  <c r="L71" i="15" s="1"/>
  <c r="M71" i="15" s="1"/>
  <c r="B42" i="15"/>
  <c r="C42" i="15" s="1"/>
  <c r="D42" i="15" s="1"/>
  <c r="E42" i="15" s="1"/>
  <c r="F42" i="15" s="1"/>
  <c r="G42" i="15" s="1"/>
  <c r="H42" i="15" s="1"/>
  <c r="I42" i="15" s="1"/>
  <c r="J42" i="15" s="1"/>
  <c r="K42" i="15" s="1"/>
  <c r="L42" i="15" s="1"/>
  <c r="M42" i="15" s="1"/>
  <c r="N42" i="15" s="1"/>
  <c r="I30" i="29"/>
  <c r="D17" i="29" l="1"/>
  <c r="F41" i="39" l="1"/>
  <c r="A61" i="37" l="1"/>
  <c r="I67" i="37"/>
  <c r="H67" i="37"/>
  <c r="G67" i="37"/>
  <c r="J66" i="37"/>
  <c r="J67" i="37" s="1"/>
  <c r="M53" i="31"/>
  <c r="B52" i="31"/>
  <c r="B53" i="31" s="1"/>
  <c r="B54" i="31" s="1"/>
  <c r="F67" i="37" l="1"/>
  <c r="C12" i="29" l="1"/>
  <c r="C10" i="29"/>
  <c r="C7" i="29"/>
  <c r="C9" i="29"/>
  <c r="C15" i="29"/>
  <c r="C17" i="29"/>
  <c r="E7" i="29"/>
  <c r="D7" i="29"/>
  <c r="E8" i="29"/>
  <c r="E9" i="29"/>
  <c r="E10" i="29"/>
  <c r="E11" i="29"/>
  <c r="E12" i="29"/>
  <c r="E13" i="29"/>
  <c r="E14" i="29"/>
  <c r="E15" i="29"/>
  <c r="E16" i="29"/>
  <c r="E17" i="29"/>
  <c r="E18" i="29"/>
  <c r="D8" i="29"/>
  <c r="D9" i="29"/>
  <c r="D10" i="29"/>
  <c r="D11" i="29"/>
  <c r="D12" i="29"/>
  <c r="D13" i="29"/>
  <c r="D14" i="29"/>
  <c r="D15" i="29"/>
  <c r="D16" i="29"/>
  <c r="D18" i="29"/>
  <c r="C8" i="29"/>
  <c r="C11" i="29"/>
  <c r="C13" i="29"/>
  <c r="C16" i="29" l="1"/>
  <c r="C14" i="29"/>
  <c r="C18" i="29"/>
  <c r="F9" i="39"/>
  <c r="F11" i="39"/>
  <c r="F10" i="39"/>
  <c r="F18" i="39"/>
  <c r="F19" i="39"/>
  <c r="F17" i="39"/>
  <c r="H8" i="39"/>
  <c r="G8" i="39"/>
  <c r="F15" i="39"/>
  <c r="F20" i="39"/>
  <c r="F8" i="39"/>
  <c r="F29" i="39"/>
  <c r="H29" i="39"/>
  <c r="H30" i="39"/>
  <c r="H31" i="39"/>
  <c r="H32" i="39"/>
  <c r="H33" i="39"/>
  <c r="H28" i="39"/>
  <c r="G29" i="39"/>
  <c r="G30" i="39"/>
  <c r="G31" i="39"/>
  <c r="G32" i="39"/>
  <c r="G33" i="39"/>
  <c r="G28" i="39"/>
  <c r="F30" i="39"/>
  <c r="F31" i="39"/>
  <c r="F32" i="39"/>
  <c r="F33" i="39"/>
  <c r="F28" i="39"/>
  <c r="I28" i="1" l="1"/>
  <c r="G28" i="1"/>
  <c r="I27" i="1"/>
  <c r="G27" i="1"/>
  <c r="P9" i="16" l="1"/>
  <c r="F66" i="26" l="1"/>
  <c r="F67" i="26"/>
  <c r="F68" i="26"/>
  <c r="L51" i="39" l="1"/>
  <c r="L59" i="39"/>
  <c r="L67" i="39"/>
  <c r="M66" i="39"/>
  <c r="M67" i="39" s="1"/>
  <c r="M74" i="39"/>
  <c r="M76" i="39" s="1"/>
  <c r="M32" i="38"/>
  <c r="M33" i="38"/>
  <c r="M34" i="38"/>
  <c r="M35" i="38"/>
  <c r="M39" i="38"/>
  <c r="M31" i="38"/>
  <c r="L11" i="38"/>
  <c r="M8" i="38"/>
  <c r="M10" i="38"/>
  <c r="L9" i="33"/>
  <c r="L10" i="33" s="1"/>
  <c r="M8" i="33"/>
  <c r="M9" i="33" s="1"/>
  <c r="M10" i="33" s="1"/>
  <c r="M7" i="29"/>
  <c r="L31" i="29"/>
  <c r="M30" i="29"/>
  <c r="M31" i="29" s="1"/>
  <c r="O8" i="27"/>
  <c r="O9" i="27" s="1"/>
  <c r="P7" i="27"/>
  <c r="P6" i="27"/>
  <c r="L17" i="25"/>
  <c r="M16" i="25"/>
  <c r="M17" i="25" s="1"/>
  <c r="M18" i="25" s="1"/>
  <c r="L9" i="25"/>
  <c r="L18" i="25" s="1"/>
  <c r="O8" i="21"/>
  <c r="O9" i="21" s="1"/>
  <c r="P7" i="21"/>
  <c r="P8" i="21" s="1"/>
  <c r="P9" i="21" s="1"/>
  <c r="M11" i="38" l="1"/>
  <c r="P8" i="27"/>
  <c r="P9" i="27" s="1"/>
  <c r="L24" i="29"/>
  <c r="L21" i="39"/>
  <c r="M11" i="39"/>
  <c r="L34" i="39"/>
  <c r="M31" i="39"/>
  <c r="M32" i="39"/>
  <c r="M33" i="39"/>
  <c r="M28" i="39"/>
  <c r="L93" i="39" l="1"/>
  <c r="M37" i="38"/>
  <c r="L24" i="38"/>
  <c r="L55" i="38" s="1"/>
  <c r="L83" i="38" s="1"/>
  <c r="M24" i="26"/>
  <c r="A69" i="39"/>
  <c r="I18" i="9"/>
  <c r="M52" i="31"/>
  <c r="I10" i="7"/>
  <c r="F70" i="26"/>
  <c r="M19" i="31"/>
  <c r="M36" i="38" l="1"/>
  <c r="K18" i="9"/>
  <c r="J18" i="9"/>
  <c r="M18" i="31"/>
  <c r="L27" i="31"/>
  <c r="M8" i="31"/>
  <c r="M9" i="31"/>
  <c r="M10" i="31"/>
  <c r="M11" i="31"/>
  <c r="M12" i="31"/>
  <c r="M13" i="31"/>
  <c r="M14" i="31"/>
  <c r="M15" i="31"/>
  <c r="M16" i="31"/>
  <c r="M17" i="31"/>
  <c r="M20" i="31"/>
  <c r="M21" i="31"/>
  <c r="M22" i="31"/>
  <c r="M23" i="31"/>
  <c r="M25" i="31"/>
  <c r="M26" i="31"/>
  <c r="L55" i="31"/>
  <c r="L44" i="31"/>
  <c r="L36" i="31"/>
  <c r="M43" i="31"/>
  <c r="M44" i="31" s="1"/>
  <c r="G28" i="37"/>
  <c r="I28" i="37"/>
  <c r="F14" i="37"/>
  <c r="M54" i="38" l="1"/>
  <c r="L56" i="31"/>
  <c r="J14" i="37"/>
  <c r="J57" i="37"/>
  <c r="J59" i="37" s="1"/>
  <c r="J8" i="37"/>
  <c r="J9" i="37"/>
  <c r="J10" i="37"/>
  <c r="J12" i="37"/>
  <c r="J15" i="37"/>
  <c r="J16" i="37"/>
  <c r="J17" i="37"/>
  <c r="J18" i="37"/>
  <c r="J19" i="37"/>
  <c r="J20" i="37"/>
  <c r="J21" i="37"/>
  <c r="J22" i="37"/>
  <c r="J23" i="37"/>
  <c r="J24" i="37"/>
  <c r="J25" i="37"/>
  <c r="J27" i="37"/>
  <c r="J11" i="37"/>
  <c r="J35" i="37"/>
  <c r="J37" i="37"/>
  <c r="J46" i="37"/>
  <c r="J48" i="37"/>
  <c r="J49" i="37"/>
  <c r="M35" i="31"/>
  <c r="M34" i="31"/>
  <c r="J45" i="37"/>
  <c r="J50" i="37" l="1"/>
  <c r="J38" i="37"/>
  <c r="I68" i="37"/>
  <c r="M36" i="31"/>
  <c r="J28" i="37"/>
  <c r="J68" i="37" l="1"/>
  <c r="M54" i="31"/>
  <c r="I55" i="31" l="1"/>
  <c r="M19" i="26" s="1"/>
  <c r="M51" i="31"/>
  <c r="M55" i="31" s="1"/>
  <c r="M24" i="31" l="1"/>
  <c r="M27" i="31" l="1"/>
  <c r="M56" i="31" s="1"/>
  <c r="M43" i="26"/>
  <c r="M67" i="26"/>
  <c r="I7" i="7" l="1"/>
  <c r="I8" i="7"/>
  <c r="I9" i="7"/>
  <c r="A3" i="23" l="1"/>
  <c r="A25" i="29" l="1"/>
  <c r="C30" i="29"/>
  <c r="I31" i="29"/>
  <c r="F17" i="26" s="1"/>
  <c r="F13" i="26" s="1"/>
  <c r="F69" i="26"/>
  <c r="F64" i="26"/>
  <c r="F62" i="26"/>
  <c r="F57" i="26"/>
  <c r="F45" i="26"/>
  <c r="F44" i="26"/>
  <c r="F42" i="26"/>
  <c r="F40" i="26"/>
  <c r="F39" i="26"/>
  <c r="F38" i="26"/>
  <c r="F33" i="26"/>
  <c r="A26" i="38"/>
  <c r="J98" i="1"/>
  <c r="K98" i="1"/>
  <c r="O70" i="26"/>
  <c r="O69" i="26"/>
  <c r="O68" i="26"/>
  <c r="O67" i="26"/>
  <c r="O66" i="26"/>
  <c r="O65" i="26"/>
  <c r="O64" i="26"/>
  <c r="O62" i="26"/>
  <c r="O46" i="26"/>
  <c r="O45" i="26"/>
  <c r="O44" i="26"/>
  <c r="O43" i="26"/>
  <c r="O42" i="26"/>
  <c r="O41" i="26"/>
  <c r="O40" i="26"/>
  <c r="O39" i="26"/>
  <c r="O38" i="26"/>
  <c r="O57" i="26"/>
  <c r="N33" i="26"/>
  <c r="N38" i="26"/>
  <c r="N39" i="26"/>
  <c r="N40" i="26"/>
  <c r="N41" i="26"/>
  <c r="N42" i="26"/>
  <c r="N43" i="26"/>
  <c r="N44" i="26"/>
  <c r="N45" i="26"/>
  <c r="N46" i="26"/>
  <c r="N47" i="26"/>
  <c r="N57" i="26"/>
  <c r="N62" i="26"/>
  <c r="N64" i="26"/>
  <c r="N65" i="26"/>
  <c r="N66" i="26"/>
  <c r="N67" i="26"/>
  <c r="N68" i="26"/>
  <c r="N69" i="26"/>
  <c r="N70" i="26"/>
  <c r="N71" i="26"/>
  <c r="M47" i="26" l="1"/>
  <c r="M71" i="26"/>
  <c r="J31" i="29"/>
  <c r="F41" i="26" s="1"/>
  <c r="K31" i="29"/>
  <c r="F65" i="26" s="1"/>
  <c r="F61" i="26" s="1"/>
  <c r="E15" i="12" s="1"/>
  <c r="O33" i="26"/>
  <c r="H64" i="1"/>
  <c r="M64" i="1" s="1"/>
  <c r="F64" i="1"/>
  <c r="A3" i="25"/>
  <c r="A11" i="25"/>
  <c r="K17" i="25"/>
  <c r="J17" i="25"/>
  <c r="I17" i="25"/>
  <c r="J9" i="25"/>
  <c r="I9" i="25"/>
  <c r="K9" i="25"/>
  <c r="F75" i="26" l="1"/>
  <c r="F77" i="1"/>
  <c r="H77" i="1"/>
  <c r="D77" i="1"/>
  <c r="M77" i="1" s="1"/>
  <c r="A61" i="39"/>
  <c r="K66" i="39" l="1"/>
  <c r="J66" i="39"/>
  <c r="J67" i="39" s="1"/>
  <c r="N48" i="26" s="1"/>
  <c r="N37" i="26" s="1"/>
  <c r="N51" i="26" s="1"/>
  <c r="M58" i="39"/>
  <c r="M59" i="39" s="1"/>
  <c r="K67" i="39"/>
  <c r="N72" i="26" s="1"/>
  <c r="N61" i="26" s="1"/>
  <c r="N75" i="26" s="1"/>
  <c r="I67" i="39"/>
  <c r="N24" i="26" s="1"/>
  <c r="N13" i="26" l="1"/>
  <c r="N27" i="26" s="1"/>
  <c r="K7" i="7"/>
  <c r="K8" i="7"/>
  <c r="K9" i="7"/>
  <c r="K10" i="7"/>
  <c r="K11" i="7"/>
  <c r="I11" i="7"/>
  <c r="I12" i="7" s="1"/>
  <c r="D18" i="1" s="1"/>
  <c r="K12" i="7" l="1"/>
  <c r="C12" i="18"/>
  <c r="D46" i="1" s="1"/>
  <c r="M46" i="1" s="1"/>
  <c r="E12" i="18"/>
  <c r="H46" i="1" s="1"/>
  <c r="D12" i="18"/>
  <c r="F46" i="1" s="1"/>
  <c r="M9" i="39"/>
  <c r="M10" i="39"/>
  <c r="M8" i="39"/>
  <c r="G59" i="1"/>
  <c r="G57" i="1" s="1"/>
  <c r="G56" i="1" s="1"/>
  <c r="H59" i="1"/>
  <c r="H57" i="1" s="1"/>
  <c r="H56" i="1" s="1"/>
  <c r="I59" i="1"/>
  <c r="I57" i="1" s="1"/>
  <c r="I56" i="1" s="1"/>
  <c r="M8" i="21"/>
  <c r="J63" i="26"/>
  <c r="I63" i="26"/>
  <c r="J39" i="26"/>
  <c r="I39" i="26"/>
  <c r="M21" i="39" l="1"/>
  <c r="J21" i="39"/>
  <c r="D48" i="26" s="1"/>
  <c r="K21" i="39"/>
  <c r="D72" i="26" s="1"/>
  <c r="C63" i="26"/>
  <c r="B58" i="26" l="1"/>
  <c r="C58" i="26" s="1"/>
  <c r="D58" i="26" s="1"/>
  <c r="E58" i="26" s="1"/>
  <c r="F58" i="26" s="1"/>
  <c r="G58" i="26" s="1"/>
  <c r="H58" i="26" s="1"/>
  <c r="I58" i="26" s="1"/>
  <c r="J58" i="26" s="1"/>
  <c r="K58" i="26" s="1"/>
  <c r="L58" i="26" s="1"/>
  <c r="M58" i="26" s="1"/>
  <c r="N58" i="26" s="1"/>
  <c r="O58" i="26" s="1"/>
  <c r="B34" i="26"/>
  <c r="C34" i="26" s="1"/>
  <c r="D34" i="26" s="1"/>
  <c r="E34" i="26" s="1"/>
  <c r="F34" i="26" s="1"/>
  <c r="G34" i="26" s="1"/>
  <c r="H34" i="26" s="1"/>
  <c r="I34" i="26" s="1"/>
  <c r="J34" i="26" s="1"/>
  <c r="K34" i="26" s="1"/>
  <c r="L34" i="26" s="1"/>
  <c r="M34" i="26" s="1"/>
  <c r="N34" i="26" s="1"/>
  <c r="O34" i="26" s="1"/>
  <c r="B10" i="26"/>
  <c r="C10" i="26" s="1"/>
  <c r="D10" i="26" s="1"/>
  <c r="E10" i="26" s="1"/>
  <c r="F10" i="26" s="1"/>
  <c r="G10" i="26" s="1"/>
  <c r="H10" i="26" s="1"/>
  <c r="I10" i="26" s="1"/>
  <c r="J10" i="26" s="1"/>
  <c r="K10" i="26" s="1"/>
  <c r="L10" i="26" s="1"/>
  <c r="M10" i="26" s="1"/>
  <c r="N10" i="26" s="1"/>
  <c r="O10" i="26" s="1"/>
  <c r="H11" i="1"/>
  <c r="H13" i="1"/>
  <c r="I13" i="1"/>
  <c r="H14" i="1"/>
  <c r="H15" i="1"/>
  <c r="H16" i="1"/>
  <c r="I18" i="1"/>
  <c r="H20" i="1"/>
  <c r="H21" i="1"/>
  <c r="H22" i="1"/>
  <c r="H23" i="1"/>
  <c r="I29" i="1"/>
  <c r="I31" i="1"/>
  <c r="I32" i="1"/>
  <c r="I43" i="1"/>
  <c r="I77" i="1"/>
  <c r="F11" i="1"/>
  <c r="F13" i="1"/>
  <c r="G13" i="1"/>
  <c r="F14" i="1"/>
  <c r="F15" i="1"/>
  <c r="F16" i="1"/>
  <c r="G18" i="1"/>
  <c r="F20" i="1"/>
  <c r="F21" i="1"/>
  <c r="F22" i="1"/>
  <c r="F23" i="1"/>
  <c r="G29" i="1"/>
  <c r="G31" i="1"/>
  <c r="G32" i="1"/>
  <c r="G43" i="1"/>
  <c r="G77" i="1"/>
  <c r="G10" i="2" l="1"/>
  <c r="H10" i="2"/>
  <c r="A45" i="15"/>
  <c r="A18" i="15"/>
  <c r="A3" i="15"/>
  <c r="P44" i="17"/>
  <c r="B42" i="17"/>
  <c r="C42" i="17" s="1"/>
  <c r="D42" i="17" s="1"/>
  <c r="E42" i="17" s="1"/>
  <c r="F42" i="17" s="1"/>
  <c r="G42" i="17" s="1"/>
  <c r="H42" i="17" s="1"/>
  <c r="I42" i="17" s="1"/>
  <c r="J42" i="17" s="1"/>
  <c r="K42" i="17" s="1"/>
  <c r="L42" i="17" s="1"/>
  <c r="M42" i="17" s="1"/>
  <c r="P24" i="17"/>
  <c r="P26" i="17" s="1"/>
  <c r="B23" i="17"/>
  <c r="C23" i="17" s="1"/>
  <c r="D23" i="17" s="1"/>
  <c r="E23" i="17" s="1"/>
  <c r="F23" i="17" s="1"/>
  <c r="G23" i="17" s="1"/>
  <c r="H23" i="17" s="1"/>
  <c r="I23" i="17" s="1"/>
  <c r="J23" i="17" s="1"/>
  <c r="K23" i="17" s="1"/>
  <c r="L23" i="17" s="1"/>
  <c r="M23" i="17" s="1"/>
  <c r="N23" i="17" s="1"/>
  <c r="P9" i="17"/>
  <c r="B42" i="16"/>
  <c r="C42" i="16" s="1"/>
  <c r="D42" i="16" s="1"/>
  <c r="E42" i="16" s="1"/>
  <c r="F42" i="16" s="1"/>
  <c r="G42" i="16" s="1"/>
  <c r="H42" i="16" s="1"/>
  <c r="I42" i="16" s="1"/>
  <c r="J42" i="16" s="1"/>
  <c r="K42" i="16" s="1"/>
  <c r="L42" i="16" s="1"/>
  <c r="M42" i="16" s="1"/>
  <c r="P24" i="16"/>
  <c r="B23" i="16"/>
  <c r="C23" i="16" s="1"/>
  <c r="D23" i="16" s="1"/>
  <c r="E23" i="16" s="1"/>
  <c r="F23" i="16" s="1"/>
  <c r="G23" i="16" s="1"/>
  <c r="H23" i="16" s="1"/>
  <c r="I23" i="16" s="1"/>
  <c r="J23" i="16" s="1"/>
  <c r="K23" i="16" s="1"/>
  <c r="L23" i="16" s="1"/>
  <c r="M23" i="16" s="1"/>
  <c r="N23" i="16" s="1"/>
  <c r="A2" i="19"/>
  <c r="A24" i="19"/>
  <c r="A46" i="19"/>
  <c r="D62" i="26"/>
  <c r="H62" i="26"/>
  <c r="I62" i="26"/>
  <c r="J62" i="26"/>
  <c r="K62" i="26"/>
  <c r="L62" i="26"/>
  <c r="M62" i="26"/>
  <c r="D64" i="26"/>
  <c r="H64" i="26"/>
  <c r="I64" i="26"/>
  <c r="J64" i="26"/>
  <c r="K64" i="26"/>
  <c r="L64" i="26"/>
  <c r="M64" i="26"/>
  <c r="H65" i="26"/>
  <c r="I65" i="26"/>
  <c r="J65" i="26"/>
  <c r="K65" i="26"/>
  <c r="L65" i="26"/>
  <c r="M65" i="26"/>
  <c r="D66" i="26"/>
  <c r="H66" i="26"/>
  <c r="I66" i="26"/>
  <c r="J66" i="26"/>
  <c r="K66" i="26"/>
  <c r="L66" i="26"/>
  <c r="M66" i="26"/>
  <c r="H67" i="26"/>
  <c r="K67" i="26"/>
  <c r="L67" i="26"/>
  <c r="D68" i="26"/>
  <c r="H68" i="26"/>
  <c r="I68" i="26"/>
  <c r="J68" i="26"/>
  <c r="K68" i="26"/>
  <c r="L68" i="26"/>
  <c r="M68" i="26"/>
  <c r="D69" i="26"/>
  <c r="H69" i="26"/>
  <c r="I69" i="26"/>
  <c r="K69" i="26"/>
  <c r="L69" i="26"/>
  <c r="M69" i="26"/>
  <c r="H70" i="26"/>
  <c r="K70" i="26"/>
  <c r="L70" i="26"/>
  <c r="D71" i="26"/>
  <c r="I71" i="26"/>
  <c r="J71" i="26"/>
  <c r="K71" i="26"/>
  <c r="L71" i="26"/>
  <c r="H72" i="26"/>
  <c r="D38" i="26"/>
  <c r="H38" i="26"/>
  <c r="I38" i="26"/>
  <c r="J38" i="26"/>
  <c r="K38" i="26"/>
  <c r="L38" i="26"/>
  <c r="M38" i="26"/>
  <c r="D39" i="26"/>
  <c r="H39" i="26"/>
  <c r="K39" i="26"/>
  <c r="L39" i="26"/>
  <c r="M39" i="26"/>
  <c r="D40" i="26"/>
  <c r="H40" i="26"/>
  <c r="I40" i="26"/>
  <c r="J40" i="26"/>
  <c r="K40" i="26"/>
  <c r="L40" i="26"/>
  <c r="M40" i="26"/>
  <c r="H41" i="26"/>
  <c r="I41" i="26"/>
  <c r="J41" i="26"/>
  <c r="K41" i="26"/>
  <c r="L41" i="26"/>
  <c r="M41" i="26"/>
  <c r="D42" i="26"/>
  <c r="H42" i="26"/>
  <c r="I42" i="26"/>
  <c r="J42" i="26"/>
  <c r="K42" i="26"/>
  <c r="L42" i="26"/>
  <c r="M42" i="26"/>
  <c r="H43" i="26"/>
  <c r="K43" i="26"/>
  <c r="L43" i="26"/>
  <c r="D44" i="26"/>
  <c r="H44" i="26"/>
  <c r="I44" i="26"/>
  <c r="J44" i="26"/>
  <c r="K44" i="26"/>
  <c r="L44" i="26"/>
  <c r="M44" i="26"/>
  <c r="D45" i="26"/>
  <c r="H45" i="26"/>
  <c r="I45" i="26"/>
  <c r="K45" i="26"/>
  <c r="L45" i="26"/>
  <c r="M45" i="26"/>
  <c r="H46" i="26"/>
  <c r="K46" i="26"/>
  <c r="L46" i="26"/>
  <c r="D47" i="26"/>
  <c r="I47" i="26"/>
  <c r="J47" i="26"/>
  <c r="K47" i="26"/>
  <c r="L47" i="26"/>
  <c r="H48" i="26"/>
  <c r="A2" i="29"/>
  <c r="A36" i="39"/>
  <c r="C39" i="26" l="1"/>
  <c r="C38" i="26"/>
  <c r="C66" i="26"/>
  <c r="C44" i="26"/>
  <c r="C40" i="26"/>
  <c r="C42" i="26"/>
  <c r="C68" i="26"/>
  <c r="C64" i="26"/>
  <c r="C62" i="26"/>
  <c r="P10" i="16"/>
  <c r="P11" i="16" s="1"/>
  <c r="G15" i="16" s="1"/>
  <c r="J15" i="26"/>
  <c r="C15" i="26" s="1"/>
  <c r="I15" i="26"/>
  <c r="G16" i="16" l="1"/>
  <c r="K15" i="16"/>
  <c r="K16" i="16" s="1"/>
  <c r="I15" i="16"/>
  <c r="I16" i="16" s="1"/>
  <c r="P45" i="16"/>
  <c r="P46" i="16" s="1"/>
  <c r="G55" i="16" s="1"/>
  <c r="G34" i="17"/>
  <c r="P26" i="16"/>
  <c r="G34" i="16" s="1"/>
  <c r="P10" i="17"/>
  <c r="P11" i="17" s="1"/>
  <c r="G15" i="17" s="1"/>
  <c r="P45" i="17"/>
  <c r="N8" i="21"/>
  <c r="C57" i="26"/>
  <c r="D57" i="26"/>
  <c r="H57" i="26"/>
  <c r="I57" i="26"/>
  <c r="J57" i="26"/>
  <c r="M57" i="26"/>
  <c r="C33" i="26"/>
  <c r="D33" i="26"/>
  <c r="H33" i="26"/>
  <c r="I33" i="26"/>
  <c r="J33" i="26"/>
  <c r="M33" i="26"/>
  <c r="M8" i="27"/>
  <c r="N8" i="27"/>
  <c r="J44" i="31"/>
  <c r="J43" i="26" s="1"/>
  <c r="K44" i="31"/>
  <c r="J67" i="26" s="1"/>
  <c r="J36" i="31"/>
  <c r="I43" i="26" s="1"/>
  <c r="K36" i="31"/>
  <c r="I67" i="26" s="1"/>
  <c r="J27" i="31"/>
  <c r="D43" i="26" s="1"/>
  <c r="K27" i="31"/>
  <c r="D67" i="26" s="1"/>
  <c r="M46" i="26"/>
  <c r="M70" i="26"/>
  <c r="G50" i="37"/>
  <c r="I46" i="26" s="1"/>
  <c r="H50" i="37"/>
  <c r="I70" i="26" s="1"/>
  <c r="J46" i="26"/>
  <c r="J70" i="26"/>
  <c r="J11" i="38"/>
  <c r="K11" i="38"/>
  <c r="H71" i="26" s="1"/>
  <c r="K34" i="17" l="1"/>
  <c r="K35" i="17" s="1"/>
  <c r="G35" i="17"/>
  <c r="M34" i="17"/>
  <c r="M35" i="17" s="1"/>
  <c r="G16" i="17"/>
  <c r="K15" i="17"/>
  <c r="K16" i="17" s="1"/>
  <c r="I15" i="17"/>
  <c r="I16" i="17" s="1"/>
  <c r="G56" i="16"/>
  <c r="L55" i="16"/>
  <c r="L56" i="16" s="1"/>
  <c r="J55" i="16"/>
  <c r="J56" i="16" s="1"/>
  <c r="G35" i="16"/>
  <c r="M34" i="16"/>
  <c r="M35" i="16" s="1"/>
  <c r="K34" i="16"/>
  <c r="K35" i="16" s="1"/>
  <c r="D15" i="16"/>
  <c r="C43" i="26"/>
  <c r="C67" i="26"/>
  <c r="H61" i="26"/>
  <c r="P46" i="17"/>
  <c r="G55" i="17" s="1"/>
  <c r="D13" i="6"/>
  <c r="G20" i="1" s="1"/>
  <c r="E13" i="6"/>
  <c r="I20" i="1" s="1"/>
  <c r="E14" i="6"/>
  <c r="I21" i="1" s="1"/>
  <c r="F45" i="1"/>
  <c r="H45" i="1"/>
  <c r="D13" i="18"/>
  <c r="E13" i="18"/>
  <c r="M18" i="20"/>
  <c r="N18" i="20"/>
  <c r="M10" i="20"/>
  <c r="N10" i="20"/>
  <c r="J6" i="27"/>
  <c r="K6" i="27"/>
  <c r="J9" i="33"/>
  <c r="J45" i="26" s="1"/>
  <c r="C45" i="26" s="1"/>
  <c r="K9" i="33"/>
  <c r="J69" i="26" s="1"/>
  <c r="C69" i="26" s="1"/>
  <c r="D46" i="26"/>
  <c r="C46" i="26" s="1"/>
  <c r="H28" i="37"/>
  <c r="D70" i="26" s="1"/>
  <c r="C70" i="26" s="1"/>
  <c r="D15" i="17" l="1"/>
  <c r="G56" i="17"/>
  <c r="L55" i="17"/>
  <c r="L56" i="17" s="1"/>
  <c r="J55" i="17"/>
  <c r="J56" i="17" s="1"/>
  <c r="D34" i="17"/>
  <c r="L15" i="17"/>
  <c r="L16" i="17" s="1"/>
  <c r="D16" i="17"/>
  <c r="D55" i="16"/>
  <c r="D34" i="16"/>
  <c r="L15" i="16"/>
  <c r="L16" i="16" s="1"/>
  <c r="D16" i="16"/>
  <c r="H75" i="26"/>
  <c r="I17" i="1"/>
  <c r="H43" i="1"/>
  <c r="I46" i="1"/>
  <c r="I45" i="1" s="1"/>
  <c r="E11" i="18"/>
  <c r="E16" i="18" s="1"/>
  <c r="G46" i="1"/>
  <c r="G45" i="1" s="1"/>
  <c r="D11" i="18"/>
  <c r="D16" i="18" s="1"/>
  <c r="F43" i="1"/>
  <c r="K24" i="38"/>
  <c r="O71" i="26" s="1"/>
  <c r="J59" i="39"/>
  <c r="L48" i="26" s="1"/>
  <c r="L37" i="26" s="1"/>
  <c r="L51" i="26" s="1"/>
  <c r="K59" i="39"/>
  <c r="L72" i="26" s="1"/>
  <c r="L61" i="26" s="1"/>
  <c r="L75" i="26" s="1"/>
  <c r="J51" i="39"/>
  <c r="K48" i="26" s="1"/>
  <c r="K37" i="26" s="1"/>
  <c r="K51" i="26" s="1"/>
  <c r="K51" i="39"/>
  <c r="K72" i="26" s="1"/>
  <c r="K61" i="26" s="1"/>
  <c r="K75" i="26" s="1"/>
  <c r="J48" i="26"/>
  <c r="J37" i="26" s="1"/>
  <c r="J51" i="26" s="1"/>
  <c r="J72" i="26"/>
  <c r="J61" i="26" s="1"/>
  <c r="J75" i="26" s="1"/>
  <c r="K34" i="39"/>
  <c r="I72" i="26" s="1"/>
  <c r="D55" i="17" l="1"/>
  <c r="N34" i="17"/>
  <c r="N35" i="17" s="1"/>
  <c r="D35" i="17"/>
  <c r="M55" i="16"/>
  <c r="M56" i="16" s="1"/>
  <c r="D56" i="16"/>
  <c r="N34" i="16"/>
  <c r="N35" i="16" s="1"/>
  <c r="D30" i="19" s="1"/>
  <c r="D35" i="16"/>
  <c r="H26" i="2"/>
  <c r="H22" i="2" s="1"/>
  <c r="E16" i="12"/>
  <c r="D8" i="19"/>
  <c r="C71" i="26"/>
  <c r="H18" i="1"/>
  <c r="H17" i="1" s="1"/>
  <c r="E11" i="6"/>
  <c r="I61" i="26"/>
  <c r="I75" i="26" s="1"/>
  <c r="E8" i="19"/>
  <c r="J34" i="39"/>
  <c r="I48" i="26" s="1"/>
  <c r="M55" i="17" l="1"/>
  <c r="M56" i="17" s="1"/>
  <c r="E12" i="14" s="1"/>
  <c r="D56" i="17"/>
  <c r="E30" i="19"/>
  <c r="D52" i="19"/>
  <c r="D12" i="14"/>
  <c r="I37" i="26"/>
  <c r="I51" i="26" s="1"/>
  <c r="C13" i="18"/>
  <c r="C11" i="18" s="1"/>
  <c r="C16" i="18" s="1"/>
  <c r="H41" i="1" l="1"/>
  <c r="E52" i="19"/>
  <c r="F41" i="1"/>
  <c r="F39" i="1" s="1"/>
  <c r="B50" i="15"/>
  <c r="C50" i="15" s="1"/>
  <c r="D50" i="15" s="1"/>
  <c r="E50" i="15" s="1"/>
  <c r="F50" i="15" s="1"/>
  <c r="G50" i="15" s="1"/>
  <c r="H50" i="15" s="1"/>
  <c r="I50" i="15" s="1"/>
  <c r="J50" i="15" s="1"/>
  <c r="K50" i="15" s="1"/>
  <c r="L50" i="15" s="1"/>
  <c r="M50" i="15" s="1"/>
  <c r="B23" i="15"/>
  <c r="C23" i="15" s="1"/>
  <c r="D23" i="15" s="1"/>
  <c r="E23" i="15" s="1"/>
  <c r="F23" i="15" s="1"/>
  <c r="G23" i="15" s="1"/>
  <c r="H23" i="15" s="1"/>
  <c r="I23" i="15" s="1"/>
  <c r="J23" i="15" s="1"/>
  <c r="K23" i="15" s="1"/>
  <c r="L23" i="15" s="1"/>
  <c r="M23" i="15" s="1"/>
  <c r="N23" i="15" s="1"/>
  <c r="L18" i="20"/>
  <c r="L10" i="20"/>
  <c r="A40" i="37"/>
  <c r="H39" i="1" l="1"/>
  <c r="C11" i="6"/>
  <c r="B77" i="15" l="1"/>
  <c r="B78" i="15" s="1"/>
  <c r="B79" i="15" s="1"/>
  <c r="B80" i="15" s="1"/>
  <c r="B81" i="15" s="1"/>
  <c r="B82" i="15" s="1"/>
  <c r="B83" i="15" s="1"/>
  <c r="B84" i="15" s="1"/>
  <c r="B85" i="15" s="1"/>
  <c r="B86" i="15" s="1"/>
  <c r="P52" i="15"/>
  <c r="J52" i="15"/>
  <c r="L52" i="15" s="1"/>
  <c r="J53" i="15"/>
  <c r="L53" i="15" s="1"/>
  <c r="J54" i="15"/>
  <c r="L54" i="15" s="1"/>
  <c r="J55" i="15"/>
  <c r="L55" i="15" s="1"/>
  <c r="J56" i="15"/>
  <c r="L56" i="15" s="1"/>
  <c r="J57" i="15"/>
  <c r="L57" i="15" s="1"/>
  <c r="J58" i="15"/>
  <c r="L58" i="15" s="1"/>
  <c r="J59" i="15"/>
  <c r="J60" i="15"/>
  <c r="L60" i="15" s="1"/>
  <c r="J61" i="15"/>
  <c r="L61" i="15" s="1"/>
  <c r="J62" i="15"/>
  <c r="L62" i="15" s="1"/>
  <c r="J51" i="15"/>
  <c r="E64" i="15"/>
  <c r="F64" i="15"/>
  <c r="I10" i="15"/>
  <c r="I11" i="15"/>
  <c r="I12" i="15"/>
  <c r="I13" i="15"/>
  <c r="I14" i="15"/>
  <c r="I9" i="15"/>
  <c r="H35" i="15"/>
  <c r="I35" i="15"/>
  <c r="M25" i="15"/>
  <c r="M26" i="15"/>
  <c r="M27" i="15"/>
  <c r="M28" i="15"/>
  <c r="M29" i="15"/>
  <c r="M30" i="15"/>
  <c r="M31" i="15"/>
  <c r="M33" i="15"/>
  <c r="K25" i="15"/>
  <c r="K26" i="15"/>
  <c r="K27" i="15"/>
  <c r="K28" i="15"/>
  <c r="K29" i="15"/>
  <c r="D29" i="15" s="1"/>
  <c r="K30" i="15"/>
  <c r="K31" i="15"/>
  <c r="K33" i="15"/>
  <c r="D33" i="15" s="1"/>
  <c r="K14" i="15"/>
  <c r="B8" i="9"/>
  <c r="B9" i="9" s="1"/>
  <c r="B10" i="9" s="1"/>
  <c r="B11" i="9" s="1"/>
  <c r="B12" i="9" s="1"/>
  <c r="B13" i="9" s="1"/>
  <c r="B14" i="9" s="1"/>
  <c r="B15" i="9" s="1"/>
  <c r="B16" i="9" s="1"/>
  <c r="B17" i="9" s="1"/>
  <c r="D28" i="15" l="1"/>
  <c r="N28" i="15" s="1"/>
  <c r="K13" i="15"/>
  <c r="D13" i="15" s="1"/>
  <c r="L13" i="15" s="1"/>
  <c r="D27" i="15"/>
  <c r="N27" i="15" s="1"/>
  <c r="D31" i="15"/>
  <c r="N31" i="15" s="1"/>
  <c r="D24" i="15"/>
  <c r="D30" i="15"/>
  <c r="N30" i="15" s="1"/>
  <c r="D26" i="15"/>
  <c r="N26" i="15" s="1"/>
  <c r="D25" i="15"/>
  <c r="N25" i="15" s="1"/>
  <c r="D14" i="15"/>
  <c r="L14" i="15" s="1"/>
  <c r="N29" i="15"/>
  <c r="L51" i="15"/>
  <c r="D51" i="15" s="1"/>
  <c r="N33" i="15"/>
  <c r="D61" i="15"/>
  <c r="M61" i="15" s="1"/>
  <c r="D57" i="15"/>
  <c r="M57" i="15" s="1"/>
  <c r="D53" i="15"/>
  <c r="M53" i="15" s="1"/>
  <c r="D55" i="15"/>
  <c r="M55" i="15" s="1"/>
  <c r="L59" i="15"/>
  <c r="D59" i="15" s="1"/>
  <c r="M59" i="15" s="1"/>
  <c r="D60" i="15"/>
  <c r="M60" i="15" s="1"/>
  <c r="D56" i="15"/>
  <c r="M56" i="15" s="1"/>
  <c r="D52" i="15"/>
  <c r="M52" i="15" s="1"/>
  <c r="D62" i="15"/>
  <c r="M62" i="15" s="1"/>
  <c r="D58" i="15"/>
  <c r="M58" i="15" s="1"/>
  <c r="D54" i="15"/>
  <c r="M54" i="15" s="1"/>
  <c r="K9" i="15"/>
  <c r="D9" i="15" s="1"/>
  <c r="L9" i="15" s="1"/>
  <c r="K12" i="15"/>
  <c r="K11" i="15"/>
  <c r="D11" i="15" s="1"/>
  <c r="K10" i="15"/>
  <c r="D10" i="15" s="1"/>
  <c r="I36" i="31"/>
  <c r="I19" i="26" s="1"/>
  <c r="A29" i="31"/>
  <c r="F50" i="37"/>
  <c r="I22" i="26" s="1"/>
  <c r="B46" i="37"/>
  <c r="A52" i="37"/>
  <c r="M18" i="38"/>
  <c r="A3" i="38"/>
  <c r="H23" i="26"/>
  <c r="B9" i="38"/>
  <c r="B10" i="38" s="1"/>
  <c r="A38" i="31"/>
  <c r="J22" i="26"/>
  <c r="I9" i="33"/>
  <c r="J21" i="26" s="1"/>
  <c r="C21" i="26" s="1"/>
  <c r="A30" i="37"/>
  <c r="A3" i="39"/>
  <c r="A3" i="31"/>
  <c r="F28" i="37"/>
  <c r="B9" i="37"/>
  <c r="B10" i="37" s="1"/>
  <c r="B11" i="37" s="1"/>
  <c r="B12" i="37" s="1"/>
  <c r="B13" i="37" s="1"/>
  <c r="B14" i="37" s="1"/>
  <c r="B15" i="37" s="1"/>
  <c r="B16" i="37" s="1"/>
  <c r="I59" i="39"/>
  <c r="L24" i="26" s="1"/>
  <c r="M41" i="39"/>
  <c r="M43" i="39" s="1"/>
  <c r="M29" i="39"/>
  <c r="M30" i="39"/>
  <c r="B30" i="39"/>
  <c r="B31" i="39" s="1"/>
  <c r="B32" i="39" s="1"/>
  <c r="B33" i="39" s="1"/>
  <c r="B9" i="39"/>
  <c r="B10" i="39" s="1"/>
  <c r="B11" i="39" s="1"/>
  <c r="B12" i="39" s="1"/>
  <c r="B13" i="39" s="1"/>
  <c r="B14" i="39" s="1"/>
  <c r="B15" i="39" s="1"/>
  <c r="B16" i="39" s="1"/>
  <c r="B17" i="39" s="1"/>
  <c r="B18" i="39" s="1"/>
  <c r="B19" i="39" s="1"/>
  <c r="B20" i="39" s="1"/>
  <c r="B47" i="37" l="1"/>
  <c r="B48" i="37" s="1"/>
  <c r="B49" i="37" s="1"/>
  <c r="P25" i="15"/>
  <c r="P26" i="15" s="1"/>
  <c r="G34" i="15"/>
  <c r="N24" i="15"/>
  <c r="L13" i="26"/>
  <c r="H13" i="26"/>
  <c r="M51" i="15"/>
  <c r="P53" i="15"/>
  <c r="P54" i="15" s="1"/>
  <c r="G63" i="15" s="1"/>
  <c r="D22" i="26"/>
  <c r="M34" i="39"/>
  <c r="M24" i="38"/>
  <c r="I10" i="1"/>
  <c r="L11" i="15"/>
  <c r="H47" i="26"/>
  <c r="L57" i="26"/>
  <c r="L33" i="26"/>
  <c r="K57" i="26"/>
  <c r="K33" i="26"/>
  <c r="D12" i="15"/>
  <c r="L12" i="15" s="1"/>
  <c r="L10" i="15"/>
  <c r="I34" i="39"/>
  <c r="M55" i="38" l="1"/>
  <c r="M83" i="38" s="1"/>
  <c r="H27" i="26"/>
  <c r="L27" i="26"/>
  <c r="P10" i="15"/>
  <c r="P11" i="15" s="1"/>
  <c r="G15" i="15" s="1"/>
  <c r="K34" i="15"/>
  <c r="E74" i="19"/>
  <c r="H74" i="19" s="1"/>
  <c r="D74" i="19"/>
  <c r="D13" i="14"/>
  <c r="B17" i="37"/>
  <c r="B18" i="37" s="1"/>
  <c r="O23" i="26"/>
  <c r="H37" i="26"/>
  <c r="J24" i="26"/>
  <c r="I24" i="26"/>
  <c r="G64" i="15"/>
  <c r="J63" i="15"/>
  <c r="J64" i="15" s="1"/>
  <c r="D32" i="1"/>
  <c r="D17" i="1"/>
  <c r="M22" i="26"/>
  <c r="C22" i="26" s="1"/>
  <c r="I44" i="31"/>
  <c r="J19" i="26" s="1"/>
  <c r="O72" i="26"/>
  <c r="O61" i="26" s="1"/>
  <c r="O75" i="26" s="1"/>
  <c r="J9" i="28"/>
  <c r="K9" i="28"/>
  <c r="I9" i="28"/>
  <c r="L8" i="27"/>
  <c r="J8" i="10"/>
  <c r="D15" i="6" s="1"/>
  <c r="K8" i="10"/>
  <c r="E15" i="6" s="1"/>
  <c r="E10" i="6" s="1"/>
  <c r="E18" i="6" s="1"/>
  <c r="I8" i="10"/>
  <c r="I8" i="8"/>
  <c r="C13" i="6" s="1"/>
  <c r="E20" i="1" s="1"/>
  <c r="C15" i="6"/>
  <c r="E46" i="1"/>
  <c r="E45" i="1" s="1"/>
  <c r="E16" i="1"/>
  <c r="E15" i="1"/>
  <c r="E14" i="1"/>
  <c r="E11" i="1"/>
  <c r="B19" i="37" l="1"/>
  <c r="B20" i="37" s="1"/>
  <c r="B21" i="37" s="1"/>
  <c r="B22" i="37" s="1"/>
  <c r="B23" i="37" s="1"/>
  <c r="B24" i="37" s="1"/>
  <c r="B25" i="37" s="1"/>
  <c r="B26" i="37" s="1"/>
  <c r="B27" i="37" s="1"/>
  <c r="D16" i="12"/>
  <c r="G26" i="2"/>
  <c r="G22" i="2" s="1"/>
  <c r="G74" i="19"/>
  <c r="G73" i="19" s="1"/>
  <c r="D85" i="19"/>
  <c r="J13" i="26"/>
  <c r="J27" i="26" s="1"/>
  <c r="H51" i="26"/>
  <c r="I13" i="26"/>
  <c r="I27" i="26" s="1"/>
  <c r="G41" i="1"/>
  <c r="G39" i="1" s="1"/>
  <c r="D11" i="14"/>
  <c r="D16" i="14" s="1"/>
  <c r="D86" i="19"/>
  <c r="G86" i="19" s="1"/>
  <c r="D82" i="19"/>
  <c r="G82" i="19" s="1"/>
  <c r="D79" i="19"/>
  <c r="G79" i="19" s="1"/>
  <c r="I41" i="1"/>
  <c r="I39" i="1" s="1"/>
  <c r="E11" i="14"/>
  <c r="E16" i="14" s="1"/>
  <c r="E82" i="19"/>
  <c r="H82" i="19" s="1"/>
  <c r="E86" i="19"/>
  <c r="H86" i="19" s="1"/>
  <c r="H73" i="19"/>
  <c r="E85" i="19"/>
  <c r="E79" i="19"/>
  <c r="I51" i="39"/>
  <c r="K24" i="26" s="1"/>
  <c r="K13" i="26" s="1"/>
  <c r="C16" i="12" s="1"/>
  <c r="M50" i="39"/>
  <c r="M51" i="39" s="1"/>
  <c r="M93" i="39" s="1"/>
  <c r="I14" i="1"/>
  <c r="G14" i="1"/>
  <c r="G16" i="1"/>
  <c r="I16" i="1"/>
  <c r="O24" i="26"/>
  <c r="O13" i="26" s="1"/>
  <c r="I11" i="1"/>
  <c r="G11" i="1"/>
  <c r="I15" i="1"/>
  <c r="G15" i="1"/>
  <c r="K15" i="15"/>
  <c r="H32" i="1"/>
  <c r="F32" i="1"/>
  <c r="F26" i="2" l="1"/>
  <c r="F22" i="2" s="1"/>
  <c r="H79" i="19"/>
  <c r="H78" i="19" s="1"/>
  <c r="O27" i="26"/>
  <c r="K27" i="26"/>
  <c r="H85" i="19"/>
  <c r="G78" i="19"/>
  <c r="G85" i="19" s="1"/>
  <c r="I15" i="15"/>
  <c r="D15" i="15" s="1"/>
  <c r="L15" i="15" s="1"/>
  <c r="L16" i="15" s="1"/>
  <c r="C74" i="19"/>
  <c r="F74" i="19" s="1"/>
  <c r="C13" i="14"/>
  <c r="E41" i="1" s="1"/>
  <c r="E39" i="1" s="1"/>
  <c r="B35" i="31"/>
  <c r="J7" i="22"/>
  <c r="E59" i="1" s="1"/>
  <c r="E57" i="1" s="1"/>
  <c r="E56" i="1" s="1"/>
  <c r="K7" i="22"/>
  <c r="F59" i="1" s="1"/>
  <c r="F57" i="1" s="1"/>
  <c r="F56" i="1" s="1"/>
  <c r="D19" i="26"/>
  <c r="C19" i="26" s="1"/>
  <c r="B9" i="31"/>
  <c r="B10" i="31" s="1"/>
  <c r="B11" i="31" s="1"/>
  <c r="B12" i="31" s="1"/>
  <c r="B8" i="29"/>
  <c r="B9" i="29" s="1"/>
  <c r="B10" i="29" s="1"/>
  <c r="B11" i="29" s="1"/>
  <c r="B12" i="29" s="1"/>
  <c r="B13" i="29" s="1"/>
  <c r="B14" i="29" s="1"/>
  <c r="B15" i="29" s="1"/>
  <c r="B16" i="29" s="1"/>
  <c r="B17" i="29" s="1"/>
  <c r="B18" i="29" s="1"/>
  <c r="B19" i="29" s="1"/>
  <c r="B20" i="29" s="1"/>
  <c r="B21" i="29" s="1"/>
  <c r="B22" i="29" s="1"/>
  <c r="I7" i="22"/>
  <c r="L8" i="21"/>
  <c r="D43" i="1" s="1"/>
  <c r="M43" i="1" s="1"/>
  <c r="L63" i="15"/>
  <c r="B52" i="15"/>
  <c r="B53" i="15" s="1"/>
  <c r="B54" i="15" s="1"/>
  <c r="B55" i="15" s="1"/>
  <c r="B56" i="15" s="1"/>
  <c r="B57" i="15" s="1"/>
  <c r="B58" i="15" s="1"/>
  <c r="B59" i="15" s="1"/>
  <c r="B60" i="15" s="1"/>
  <c r="B61" i="15" s="1"/>
  <c r="B62" i="15" s="1"/>
  <c r="B63" i="15" s="1"/>
  <c r="F35" i="15"/>
  <c r="B25" i="15"/>
  <c r="B26" i="15" s="1"/>
  <c r="B27" i="15" s="1"/>
  <c r="B28" i="15" s="1"/>
  <c r="B29" i="15" s="1"/>
  <c r="B30" i="15" s="1"/>
  <c r="B31" i="15" s="1"/>
  <c r="B32" i="15" s="1"/>
  <c r="B33" i="15" s="1"/>
  <c r="B34" i="15" s="1"/>
  <c r="G16" i="15"/>
  <c r="F16" i="15"/>
  <c r="B10" i="15"/>
  <c r="B11" i="15" s="1"/>
  <c r="B12" i="15" s="1"/>
  <c r="B13" i="15" s="1"/>
  <c r="B14" i="15" s="1"/>
  <c r="B15" i="15" s="1"/>
  <c r="C14" i="6"/>
  <c r="E21" i="1" s="1"/>
  <c r="E17" i="1" s="1"/>
  <c r="E10" i="1" s="1"/>
  <c r="B13" i="31" l="1"/>
  <c r="B14" i="31" s="1"/>
  <c r="B15" i="31" s="1"/>
  <c r="B16" i="31" s="1"/>
  <c r="B17" i="31" s="1"/>
  <c r="B18" i="31" s="1"/>
  <c r="B19" i="31" s="1"/>
  <c r="B20" i="31" s="1"/>
  <c r="B21" i="31" s="1"/>
  <c r="B22" i="31" s="1"/>
  <c r="B23" i="31" s="1"/>
  <c r="B24" i="31" s="1"/>
  <c r="B25" i="31" s="1"/>
  <c r="B26" i="31" s="1"/>
  <c r="D59" i="1"/>
  <c r="P16" i="15"/>
  <c r="C12" i="12"/>
  <c r="D27" i="1" s="1"/>
  <c r="E12" i="12"/>
  <c r="H27" i="1" s="1"/>
  <c r="C86" i="19"/>
  <c r="F86" i="19" s="1"/>
  <c r="F85" i="19" s="1"/>
  <c r="C82" i="19"/>
  <c r="F82" i="19" s="1"/>
  <c r="C85" i="19"/>
  <c r="C79" i="19"/>
  <c r="F79" i="19" s="1"/>
  <c r="F73" i="19"/>
  <c r="L64" i="15"/>
  <c r="D63" i="15"/>
  <c r="M63" i="15" s="1"/>
  <c r="M64" i="15" s="1"/>
  <c r="P64" i="15" s="1"/>
  <c r="C10" i="6"/>
  <c r="C18" i="6" s="1"/>
  <c r="K16" i="15"/>
  <c r="I16" i="15"/>
  <c r="D57" i="1" l="1"/>
  <c r="M59" i="1"/>
  <c r="F27" i="26"/>
  <c r="D41" i="26"/>
  <c r="F37" i="26"/>
  <c r="D15" i="12" s="1"/>
  <c r="D65" i="26"/>
  <c r="C20" i="12"/>
  <c r="D29" i="1"/>
  <c r="D10" i="1" s="1"/>
  <c r="F29" i="1"/>
  <c r="E20" i="12"/>
  <c r="H29" i="1"/>
  <c r="H10" i="1" s="1"/>
  <c r="F78" i="19"/>
  <c r="D45" i="1"/>
  <c r="M45" i="1" s="1"/>
  <c r="D64" i="15"/>
  <c r="D16" i="15"/>
  <c r="D56" i="1" l="1"/>
  <c r="M56" i="1" s="1"/>
  <c r="M57" i="1"/>
  <c r="F51" i="26"/>
  <c r="D12" i="12"/>
  <c r="C52" i="19"/>
  <c r="C60" i="19" s="1"/>
  <c r="F60" i="19" s="1"/>
  <c r="C8" i="19"/>
  <c r="C41" i="26"/>
  <c r="D37" i="26"/>
  <c r="C65" i="26"/>
  <c r="D61" i="26"/>
  <c r="K35" i="15"/>
  <c r="M34" i="15"/>
  <c r="D34" i="15" s="1"/>
  <c r="N34" i="15" s="1"/>
  <c r="N35" i="15" s="1"/>
  <c r="G35" i="15"/>
  <c r="F27" i="1" l="1"/>
  <c r="D20" i="12"/>
  <c r="F83" i="1"/>
  <c r="F79" i="1" s="1"/>
  <c r="F38" i="1" s="1"/>
  <c r="H83" i="1"/>
  <c r="M35" i="15"/>
  <c r="C57" i="19"/>
  <c r="F57" i="19" s="1"/>
  <c r="F56" i="19" s="1"/>
  <c r="F52" i="19"/>
  <c r="F51" i="19" s="1"/>
  <c r="G52" i="19"/>
  <c r="G51" i="19" s="1"/>
  <c r="D64" i="19"/>
  <c r="D60" i="19"/>
  <c r="G60" i="19" s="1"/>
  <c r="D63" i="19"/>
  <c r="D57" i="19"/>
  <c r="G57" i="19" s="1"/>
  <c r="C64" i="19"/>
  <c r="F64" i="19" s="1"/>
  <c r="F63" i="19" s="1"/>
  <c r="C63" i="19"/>
  <c r="H52" i="19"/>
  <c r="H51" i="19" s="1"/>
  <c r="E64" i="19"/>
  <c r="E60" i="19"/>
  <c r="H60" i="19" s="1"/>
  <c r="E63" i="19"/>
  <c r="E57" i="19"/>
  <c r="H57" i="19" s="1"/>
  <c r="D19" i="19"/>
  <c r="D16" i="19"/>
  <c r="G16" i="19" s="1"/>
  <c r="G8" i="19"/>
  <c r="G7" i="19" s="1"/>
  <c r="D13" i="19"/>
  <c r="G13" i="19" s="1"/>
  <c r="D20" i="19"/>
  <c r="E19" i="19"/>
  <c r="H8" i="19"/>
  <c r="H7" i="19" s="1"/>
  <c r="E13" i="19"/>
  <c r="H13" i="19" s="1"/>
  <c r="E16" i="19"/>
  <c r="H16" i="19" s="1"/>
  <c r="E20" i="19"/>
  <c r="D75" i="26"/>
  <c r="D51" i="26"/>
  <c r="C16" i="19"/>
  <c r="F16" i="19" s="1"/>
  <c r="C13" i="19"/>
  <c r="F13" i="19" s="1"/>
  <c r="C20" i="19"/>
  <c r="F20" i="19" s="1"/>
  <c r="F19" i="19" s="1"/>
  <c r="C19" i="19"/>
  <c r="F8" i="19"/>
  <c r="F7" i="19" s="1"/>
  <c r="H79" i="1" l="1"/>
  <c r="H38" i="1" s="1"/>
  <c r="G12" i="19"/>
  <c r="G20" i="19" s="1"/>
  <c r="G19" i="19" s="1"/>
  <c r="H12" i="19"/>
  <c r="H20" i="19" s="1"/>
  <c r="H19" i="19" s="1"/>
  <c r="H56" i="19"/>
  <c r="H64" i="19" s="1"/>
  <c r="H63" i="19" s="1"/>
  <c r="G56" i="19"/>
  <c r="G64" i="19" s="1"/>
  <c r="G63" i="19" s="1"/>
  <c r="D35" i="15"/>
  <c r="F12" i="19"/>
  <c r="H98" i="1" l="1"/>
  <c r="H30" i="19"/>
  <c r="H29" i="19" s="1"/>
  <c r="E42" i="19"/>
  <c r="E38" i="19"/>
  <c r="H38" i="19" s="1"/>
  <c r="E41" i="19"/>
  <c r="E35" i="19"/>
  <c r="H35" i="19" s="1"/>
  <c r="D41" i="19"/>
  <c r="D35" i="19"/>
  <c r="G35" i="19" s="1"/>
  <c r="G30" i="19"/>
  <c r="G29" i="19" s="1"/>
  <c r="D42" i="19"/>
  <c r="D38" i="19"/>
  <c r="G38" i="19" s="1"/>
  <c r="H34" i="19" l="1"/>
  <c r="H42" i="19" s="1"/>
  <c r="H41" i="19" s="1"/>
  <c r="G34" i="19"/>
  <c r="G42" i="19" s="1"/>
  <c r="G41" i="19" s="1"/>
  <c r="D14" i="6" l="1"/>
  <c r="G21" i="1" l="1"/>
  <c r="G17" i="1" s="1"/>
  <c r="G10" i="1" s="1"/>
  <c r="D24" i="26" l="1"/>
  <c r="C24" i="26" s="1"/>
  <c r="M48" i="26"/>
  <c r="C48" i="26" s="1"/>
  <c r="M72" i="26"/>
  <c r="M23" i="26"/>
  <c r="C23" i="26" s="1"/>
  <c r="M13" i="26" l="1"/>
  <c r="M37" i="26"/>
  <c r="M61" i="26"/>
  <c r="C72" i="26"/>
  <c r="E83" i="1" l="1"/>
  <c r="F37" i="2"/>
  <c r="I83" i="1"/>
  <c r="I79" i="1" s="1"/>
  <c r="H6" i="2" s="1"/>
  <c r="H37" i="2"/>
  <c r="H33" i="2" s="1"/>
  <c r="E79" i="1"/>
  <c r="F33" i="2"/>
  <c r="M75" i="26"/>
  <c r="C61" i="26"/>
  <c r="C75" i="26" s="1"/>
  <c r="M51" i="26"/>
  <c r="M27" i="26"/>
  <c r="I38" i="1" l="1"/>
  <c r="I98" i="1" s="1"/>
  <c r="H21" i="2"/>
  <c r="H17" i="2" s="1"/>
  <c r="H16" i="2" s="1"/>
  <c r="H41" i="2" s="1"/>
  <c r="H40" i="2" s="1"/>
  <c r="E38" i="1"/>
  <c r="E98" i="1" s="1"/>
  <c r="M11" i="29"/>
  <c r="M16" i="29"/>
  <c r="M17" i="29"/>
  <c r="M14" i="29"/>
  <c r="M18" i="29"/>
  <c r="M15" i="29"/>
  <c r="M9" i="29"/>
  <c r="M13" i="29"/>
  <c r="M8" i="29"/>
  <c r="M23" i="29" l="1"/>
  <c r="M10" i="29"/>
  <c r="M24" i="29" l="1"/>
  <c r="D17" i="26"/>
  <c r="C17" i="26" l="1"/>
  <c r="C13" i="26" s="1"/>
  <c r="D13" i="26"/>
  <c r="D83" i="1" l="1"/>
  <c r="M83" i="1" s="1"/>
  <c r="C27" i="26"/>
  <c r="D27" i="26"/>
  <c r="J24" i="38"/>
  <c r="O47" i="26" s="1"/>
  <c r="D79" i="1" l="1"/>
  <c r="M79" i="1" s="1"/>
  <c r="C47" i="26"/>
  <c r="O37" i="26"/>
  <c r="F6" i="2" l="1"/>
  <c r="F21" i="2"/>
  <c r="F17" i="2" s="1"/>
  <c r="F16" i="2" s="1"/>
  <c r="F41" i="2" s="1"/>
  <c r="F40" i="2" s="1"/>
  <c r="G37" i="2"/>
  <c r="G33" i="2" s="1"/>
  <c r="O51" i="26"/>
  <c r="G83" i="1"/>
  <c r="G79" i="1" s="1"/>
  <c r="C37" i="26"/>
  <c r="C51" i="26" s="1"/>
  <c r="G6" i="2" l="1"/>
  <c r="G21" i="2" s="1"/>
  <c r="G17" i="2" s="1"/>
  <c r="G16" i="2" s="1"/>
  <c r="G41" i="2" s="1"/>
  <c r="G40" i="2" s="1"/>
  <c r="G38" i="1"/>
  <c r="J12" i="7"/>
  <c r="F18" i="1" s="1"/>
  <c r="F17" i="1" s="1"/>
  <c r="G98" i="1" l="1"/>
  <c r="L38" i="1"/>
  <c r="F10" i="1"/>
  <c r="F98" i="1" s="1"/>
  <c r="D11" i="6"/>
  <c r="D10" i="6" s="1"/>
  <c r="D18" i="6" s="1"/>
  <c r="P35" i="15"/>
  <c r="P88" i="15" s="1"/>
  <c r="C30" i="19"/>
  <c r="C38" i="19" s="1"/>
  <c r="F38" i="19" s="1"/>
  <c r="C12" i="14" l="1"/>
  <c r="C35" i="19"/>
  <c r="F35" i="19" s="1"/>
  <c r="F34" i="19" s="1"/>
  <c r="C41" i="19"/>
  <c r="F30" i="19"/>
  <c r="F29" i="19" s="1"/>
  <c r="C42" i="19"/>
  <c r="F42" i="19" s="1"/>
  <c r="F41" i="19" s="1"/>
  <c r="D41" i="1" l="1"/>
  <c r="C11" i="14"/>
  <c r="C16" i="14" s="1"/>
  <c r="D39" i="1" l="1"/>
  <c r="M41" i="1"/>
  <c r="D38" i="1"/>
  <c r="D98" i="1" s="1"/>
</calcChain>
</file>

<file path=xl/comments1.xml><?xml version="1.0" encoding="utf-8"?>
<comments xmlns="http://schemas.openxmlformats.org/spreadsheetml/2006/main">
  <authors>
    <author>Вячеслав</author>
  </authors>
  <commentList>
    <comment ref="E21" authorId="0">
      <text>
        <r>
          <rPr>
            <b/>
            <sz val="9"/>
            <color indexed="81"/>
            <rFont val="Tahoma"/>
            <family val="2"/>
            <charset val="204"/>
          </rPr>
          <t>3.2.4</t>
        </r>
      </text>
    </comment>
    <comment ref="D41" authorId="0">
      <text>
        <r>
          <rPr>
            <b/>
            <sz val="9"/>
            <color indexed="81"/>
            <rFont val="Tahoma"/>
            <family val="2"/>
            <charset val="204"/>
          </rPr>
          <t>211+266</t>
        </r>
      </text>
    </comment>
  </commentList>
</comments>
</file>

<file path=xl/comments2.xml><?xml version="1.0" encoding="utf-8"?>
<comments xmlns="http://schemas.openxmlformats.org/spreadsheetml/2006/main">
  <authors>
    <author>Пользователь Windows</author>
  </authors>
  <commentList>
    <comment ref="F26" authorId="0">
      <text>
        <r>
          <rPr>
            <b/>
            <sz val="9"/>
            <color indexed="81"/>
            <rFont val="Tahoma"/>
            <family val="2"/>
            <charset val="204"/>
          </rPr>
          <t>622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37" authorId="0">
      <text>
        <r>
          <rPr>
            <b/>
            <sz val="9"/>
            <color indexed="81"/>
            <rFont val="Tahoma"/>
            <family val="2"/>
            <charset val="204"/>
          </rPr>
          <t>849 и 853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Пользователь Windows</author>
  </authors>
  <commentList>
    <comment ref="F57" authorId="0">
      <text>
        <r>
          <rPr>
            <b/>
            <sz val="9"/>
            <color indexed="81"/>
            <rFont val="Tahoma"/>
            <family val="2"/>
            <charset val="204"/>
          </rPr>
          <t>5500 усл.банка были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<sst xmlns="http://schemas.openxmlformats.org/spreadsheetml/2006/main" count="2783" uniqueCount="551">
  <si>
    <t>Наименование показателя</t>
  </si>
  <si>
    <t>Код строки</t>
  </si>
  <si>
    <t>Код по бюджетной классификации Российской Федерации &lt;3&gt;</t>
  </si>
  <si>
    <t>Сумма, руб. (с точностью до двух знаков после запятой - 0,00)</t>
  </si>
  <si>
    <t>на 20__ г.</t>
  </si>
  <si>
    <t>за пределами планового периода</t>
  </si>
  <si>
    <t>текущий финансовый год</t>
  </si>
  <si>
    <t>первый год планового периода</t>
  </si>
  <si>
    <t>второй год планового периода</t>
  </si>
  <si>
    <t>субсидии</t>
  </si>
  <si>
    <t>поступления от приносящей доход деятельности</t>
  </si>
  <si>
    <t>Остаток средств на начало текущего финансового года &lt;4&gt;</t>
  </si>
  <si>
    <t>х</t>
  </si>
  <si>
    <t>Остаток средств на конец текущего финансового года &lt;4&gt;</t>
  </si>
  <si>
    <t>Доходы, всего:</t>
  </si>
  <si>
    <t>в том числе:</t>
  </si>
  <si>
    <t>доходы от собственности, всего</t>
  </si>
  <si>
    <t>доходы, получаемые в виде арендной либо иной платы за передачу в возмездное пользование муниципального имущества</t>
  </si>
  <si>
    <t>доходы в виде процентов по депозитам автономных учреждений в кредитных организациях</t>
  </si>
  <si>
    <t>доходы в виде процентов по остаткам средств на счетах автономных учреждений в кредитных организациях</t>
  </si>
  <si>
    <t>доходы от оказания услуг, работ, компенсации затрат учреждений, всего</t>
  </si>
  <si>
    <t>субсидии на финансовое обеспечение выполнения муниципального задания</t>
  </si>
  <si>
    <t>доходы от оказания услуг, выполнения работ, за плату сверх установленного муниципального задания и иной приносящей доход деятельности, предусмотренной уставом учреждения</t>
  </si>
  <si>
    <t>доходы, поступающие в порядке возмещения расходов, понесенных в связи с эксплуатацией имущества, находящегося в оперативном управлении учреждения</t>
  </si>
  <si>
    <t>доходы от штрафов, пеней, иных сумм принудительного изъятия, всего</t>
  </si>
  <si>
    <t>безвозмездные денежные поступления, всего</t>
  </si>
  <si>
    <t>прочие доходы, всего</t>
  </si>
  <si>
    <t>целевые субсидии</t>
  </si>
  <si>
    <t>субсидии на осуществление капитальных вложений</t>
  </si>
  <si>
    <t>доходы от операций с активами, всего</t>
  </si>
  <si>
    <t>прочие поступления, всего &lt;5&gt;</t>
  </si>
  <si>
    <t>из них:</t>
  </si>
  <si>
    <t>увеличение остатков денежных средств за счет возврата дебиторской задолженности прошлых лет</t>
  </si>
  <si>
    <t>Расходы, всего</t>
  </si>
  <si>
    <t>на выплаты персоналу, всего</t>
  </si>
  <si>
    <t>оплата труда</t>
  </si>
  <si>
    <t>прочие выплаты персоналу, в том числе компенсационного характера</t>
  </si>
  <si>
    <t>иные выплаты, за исключением фонда оплаты труда учреждения, для выполнения отдельных полномочий</t>
  </si>
  <si>
    <t>взносы по обязательному социальному страхованию на выплаты по оплате труда работников и иные выплаты работникам учреждений, всего</t>
  </si>
  <si>
    <t>на выплаты по оплате труда</t>
  </si>
  <si>
    <t>на иные выплаты работникам</t>
  </si>
  <si>
    <t>денежное довольствие военнослужащих и сотрудников, имеющих специальные звания</t>
  </si>
  <si>
    <t>иные выплаты военнослужащим и сотрудникам, имеющим специальные звания</t>
  </si>
  <si>
    <t>страховые взносы на обязательное социальное страхование в части выплат персоналу, подлежащих обложению страховыми взносами</t>
  </si>
  <si>
    <t>на оплату труда стажеров</t>
  </si>
  <si>
    <t>на иные выплаты гражданским лицам (денежное содержание)</t>
  </si>
  <si>
    <t>социальные и иные выплаты населению, всего</t>
  </si>
  <si>
    <t>социальные выплаты гражданам, кроме публичных нормативных социальных выплат</t>
  </si>
  <si>
    <t>пособия, компенсации и иные социальные выплаты гражданам, кроме публичных нормативных обязательств</t>
  </si>
  <si>
    <t>выплата стипендий, осуществление иных расходов на социальную поддержку обучающихся за счет средств стипендиального фонда</t>
  </si>
  <si>
    <t>на премирование физических лиц за достижения в области культуры, искусства, образования, науки и техники, а также на предоставление грантов с целью поддержки проектов в области науки, культуры и искусства</t>
  </si>
  <si>
    <t>уплата налогов, сборов и иных платежей, всего</t>
  </si>
  <si>
    <t>налог на имущество организаций и земельный налог</t>
  </si>
  <si>
    <t>иные налоги (включаемые в состав расходов) в бюджеты бюджетной системы Российской Федерации, а также государственная пошлина</t>
  </si>
  <si>
    <t>уплата штрафов (в том числе административных), пеней, иных платежей</t>
  </si>
  <si>
    <t>безвозмездные перечисления организациям и физическим лицам, всего</t>
  </si>
  <si>
    <t>гранты, предоставляемые другим организациям и физическим лицам</t>
  </si>
  <si>
    <t>взносы в международные организации</t>
  </si>
  <si>
    <t>платежи в целях обеспечения реализации соглашений с правительствами иностранных государств и международными организациями</t>
  </si>
  <si>
    <t>прочие выплаты (кроме выплат на закупку товаров, работ, услуг)</t>
  </si>
  <si>
    <t>исполнение судебных актов Российской Федерации и мировых соглашений по возмещению вреда, причиненного в результате деятельности учреждения</t>
  </si>
  <si>
    <t>расходы на закупку товаров, работ, услуг, всего &lt;6&gt;</t>
  </si>
  <si>
    <t>закупку научно-исследовательских и опытно-конструкторских работ</t>
  </si>
  <si>
    <t>закупку товаров, работ, услуг в целях капитального ремонта муниципального имущества</t>
  </si>
  <si>
    <t>прочую закупку товаров, работ и услуг, всего</t>
  </si>
  <si>
    <t>капитальные вложения в объекты муниципальной собственности, всего</t>
  </si>
  <si>
    <t>приобретение объектов недвижимого имущества муниципальными учреждениями</t>
  </si>
  <si>
    <t>строительство (реконструкция) объектов недвижимого имущества муниципальными учреждениями</t>
  </si>
  <si>
    <t>Выплаты, уменьшающие доход, всего &lt;7&gt;</t>
  </si>
  <si>
    <t>налог на прибыль &lt;7&gt;</t>
  </si>
  <si>
    <t>налог на добавленную стоимость &lt;7&gt;</t>
  </si>
  <si>
    <t>прочие налоги, уменьшающие доход &lt;7&gt;</t>
  </si>
  <si>
    <t>Прочие выплаты, всего &lt;8&gt;</t>
  </si>
  <si>
    <t>возврат в бюджет средств субсидии</t>
  </si>
  <si>
    <t>Раздел 1. Поступления и выплаты</t>
  </si>
  <si>
    <t>N п/п</t>
  </si>
  <si>
    <t>Коды строк</t>
  </si>
  <si>
    <t>Год начала закупки</t>
  </si>
  <si>
    <t>Сумма</t>
  </si>
  <si>
    <t>(текущий финансовый год)</t>
  </si>
  <si>
    <t>(первый год планового периода)</t>
  </si>
  <si>
    <t>(второй год планового периода)</t>
  </si>
  <si>
    <t>Выплаты на закупку товаров, работ, услуг, всего &lt;10&gt;</t>
  </si>
  <si>
    <t>по контрактам (договорам), заключенным до начала текущего финансового года с учетом требований:</t>
  </si>
  <si>
    <t>в соответствии с Федеральным законом N 44-ФЗ</t>
  </si>
  <si>
    <t>в соответствии с Федеральным законом N 223-ФЗ &lt;12&gt;</t>
  </si>
  <si>
    <t>по контрактам (договорам), планируемым к заключению в соответствующем финансовом году с учетом требований Федерального закона N 44-ФЗ и Федерального закона N 223-ФЗ &lt;12&gt;</t>
  </si>
  <si>
    <t>за счет субсидий, предоставляемых на финансовое обеспечение выполнения государственного (муниципального) задания</t>
  </si>
  <si>
    <t>1.4.1.1</t>
  </si>
  <si>
    <t>1.4.1.2</t>
  </si>
  <si>
    <t>в соответствии с Федеральным законом N 223-ФЗ &lt;13&gt;</t>
  </si>
  <si>
    <t>за счет субсидий, предоставляемых в соответствии с абзацем вторым пункта 1 статьи 78.1 Бюджетного кодекса Российской Федерации</t>
  </si>
  <si>
    <t>1.4.2.1</t>
  </si>
  <si>
    <t>1.4.2.2</t>
  </si>
  <si>
    <t>за счет субсидий, предоставляемых на осуществление капитальных вложений &lt;14&gt;</t>
  </si>
  <si>
    <t>За счет средств обязательного медицинского страхования</t>
  </si>
  <si>
    <t>1.4.4.1</t>
  </si>
  <si>
    <t>1.4.4.2</t>
  </si>
  <si>
    <t>в соответствии с Федеральным законом N 223-ФЗ</t>
  </si>
  <si>
    <t>за счет прочих источников финансового обеспечения</t>
  </si>
  <si>
    <t>1.4.5.1</t>
  </si>
  <si>
    <t>1.4.5.2</t>
  </si>
  <si>
    <t>Итого по контрактам, планируемым к заключению в соответствующем финансовом году в соответствии с Федеральным законом N 44-ФЗ, по соответствующему году закупки &lt;15&gt;</t>
  </si>
  <si>
    <t>в том числе по году начала закупки:</t>
  </si>
  <si>
    <t>Итого по договорам, планируемым к заключению в соответствующем финансовом году в соответствии с Федеральным законом N 223-ФЗ, по соответствующему году закупки</t>
  </si>
  <si>
    <t>Раздел 2. Сведения по выплатам на закупки товаров, работ, услуг</t>
  </si>
  <si>
    <t>1.2</t>
  </si>
  <si>
    <t>1.3</t>
  </si>
  <si>
    <t>1.3.1.</t>
  </si>
  <si>
    <t>1.3.2</t>
  </si>
  <si>
    <t>1.4</t>
  </si>
  <si>
    <t>1.4.1</t>
  </si>
  <si>
    <t>1.4.2</t>
  </si>
  <si>
    <t>1.4.3</t>
  </si>
  <si>
    <t>1.4.4</t>
  </si>
  <si>
    <t>1.4.5</t>
  </si>
  <si>
    <t>Сумма, руб.</t>
  </si>
  <si>
    <t>Задолженность по доходам (дебиторская задолженность по доходам) на начало года</t>
  </si>
  <si>
    <t>Полученные предварительные платежи (авансы) по контрактам (договорам) (кредиторская задолженность по доходам) на начало года</t>
  </si>
  <si>
    <t>Доходы от собственности, всего</t>
  </si>
  <si>
    <t>плата по соглашениям об установлении сервитута</t>
  </si>
  <si>
    <t>проценты, полученные от предоставления займов</t>
  </si>
  <si>
    <t>проценты по иным финансовым инструментам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</si>
  <si>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учреждению</t>
  </si>
  <si>
    <t>доходы от распоряжения правами на результаты интеллектуальной деятельности и средствами индивидуализации</t>
  </si>
  <si>
    <t>прочие поступления от использования имущества, находящегося в оперативном управлении учреждения</t>
  </si>
  <si>
    <t>Задолженность по доходам (дебиторская задолженность по доходам) на конец года</t>
  </si>
  <si>
    <t>Полученные предварительные платежи (авансы) по контрактам (договорам) (кредиторская задолженность по доходам) на конец года</t>
  </si>
  <si>
    <t>Планируемые поступления доходов от собственности (с. 0100 - с. 0200 + с. 0300 - с. 0400 + с. 0500)</t>
  </si>
  <si>
    <t>Наименование объекта</t>
  </si>
  <si>
    <t>Плата (тариф) арендной платы за единицу площади (объект), руб.</t>
  </si>
  <si>
    <t>Планируемый объем предоставления имущества в аренду (в натуральных показателях)</t>
  </si>
  <si>
    <t>Объем планируемых поступлений, руб.</t>
  </si>
  <si>
    <t>Недвижимое имущество, всего</t>
  </si>
  <si>
    <t>в том числе</t>
  </si>
  <si>
    <t>Движимое имущество, всего</t>
  </si>
  <si>
    <t>Итого</t>
  </si>
  <si>
    <t>3.1.2. Расчет доходов в виде арендной либо иной платы за передачу в возмездное пользование муниципального имущества.</t>
  </si>
  <si>
    <t>3.1.1. Обоснование (расчет) плановых показателей поступлений доходов по статье 120 "Доходы от собственности".</t>
  </si>
  <si>
    <t>Среднегодовой объем средств, на которые начисляются проценты, руб.</t>
  </si>
  <si>
    <t>Ставка размещения, %</t>
  </si>
  <si>
    <t>Сумма доходов в виде процентов, руб.</t>
  </si>
  <si>
    <t>Договор 1</t>
  </si>
  <si>
    <t>Договор 2</t>
  </si>
  <si>
    <t>3.1.3. Расчет доходов в виде процентов по депозитам автономных учреждений в кредитных организациях.</t>
  </si>
  <si>
    <t>3.1. Обоснование (расчет) плановых показателей поступлений доходов по статье 120 "Доходы от собственности".</t>
  </si>
  <si>
    <t>Раздел 3. Обоснования (расчеты) плановых показателей поступлений и выплат</t>
  </si>
  <si>
    <t>Доходы от оказания услуг, работ, компенсации затрат учреждений, всего</t>
  </si>
  <si>
    <t>Планируемые поступления доходов от оказания услуг, компенсации затрат учреждения (с. 0100 - с. 0200 + с. 0300 - с. 0400 + с. 0500)</t>
  </si>
  <si>
    <t>3.2.1. Обоснование (расчет) плановых показателей поступлений доходов по статье 130 "Доходы от оказания услуг, работ, компенсации затрат учреждений".</t>
  </si>
  <si>
    <t>3.2. Обоснование (расчет) плановых показателей поступлений доходов по статье 130 "Доходы от оказания услуг, работ, компенсации затрат учреждений".</t>
  </si>
  <si>
    <t>Плата (тариф) за единицу услуги (работы), руб.</t>
  </si>
  <si>
    <t>Планируемый объем оказания услуг (выполнения работ)</t>
  </si>
  <si>
    <t>Общий объем планируемых поступлений, руб.</t>
  </si>
  <si>
    <t>3.2.2. Расчет доходов в виде субсидии на финансовое обеспечение выполнения муниципального задания.</t>
  </si>
  <si>
    <t>3.2.3. Расчет доходов от оказания услуг, выполнения работ в рамках установленного муниципального задания.</t>
  </si>
  <si>
    <t>3.2.4. Расчет доходов от оказания услуг, выполнения работ за плату сверх установленного муниципального задания и иной приносящей доход деятельности, предусмотренной уставом учреждения.</t>
  </si>
  <si>
    <t>Вид возмещаемых расходов</t>
  </si>
  <si>
    <t>Объем услуг, планируемый к возмещению</t>
  </si>
  <si>
    <t>3.2.5. Расчет доходов, поступающих в порядке возмещения расходов, понесенных в связи с эксплуатацией имущества, находящегося в оперативном управлении учреждения.</t>
  </si>
  <si>
    <t>Излишне полученные либо взысканные платежи (кредиторская задолженность по доходам) на начало года</t>
  </si>
  <si>
    <t>Доходы от штрафов, пеней, иных сумм принудительного изъятия, всего</t>
  </si>
  <si>
    <t>штрафы</t>
  </si>
  <si>
    <t>пени</t>
  </si>
  <si>
    <t>суммы принудительного изъятия</t>
  </si>
  <si>
    <t>Излишне полученные либо взысканные платежи (кредиторская задолженность по доходам) на конец года</t>
  </si>
  <si>
    <t>Планируемые поступления доходов от штрафов, пеней, иных сумм принудительного изъятия (с. 0100 - с. 0200 + с. 0300 - с. 0400 + с. 0500)</t>
  </si>
  <si>
    <t>3.3. Обоснование (расчет) плановых показателей поступлений доходов по статье 140 "Доходы от штрафов, пеней, иных сумм принудительного изъятия".</t>
  </si>
  <si>
    <t>3.3.1. Обоснование (расчет) плановых показателей поступлений доходов по статье 140 "Доходы от штрафов, пеней, иных сумм принудительного изъятия".</t>
  </si>
  <si>
    <t>Доходы прочие, всего</t>
  </si>
  <si>
    <t>3.4. Обоснование (расчет) плановых показателей поступлений доходов по статье 180 "Прочие доходы".</t>
  </si>
  <si>
    <t>3.4.1. Обоснование (расчет) плановых показателей поступлений доходов по статье 180 "Прочие доходы".</t>
  </si>
  <si>
    <t>Доходы от операций с активами, всего</t>
  </si>
  <si>
    <t>реализация неиспользуемого имущества</t>
  </si>
  <si>
    <t>реализация утиля, лома черных и цветных металлов</t>
  </si>
  <si>
    <t>3.5. Обоснование (расчет) плановых показателей поступлений доходов по статье "Доходы от операций с активами".</t>
  </si>
  <si>
    <t>3.5.1. Обоснование (расчет) плановых показателей поступлений доходов по статье "Доходы от операций с активами".</t>
  </si>
  <si>
    <t>Задолженность перед персоналом по оплате труда (кредиторская задолженность) на начало года</t>
  </si>
  <si>
    <t>Задолженность персонала по полученным авансам (дебиторская задолженность) на начало года</t>
  </si>
  <si>
    <t>Фонд оплаты труда</t>
  </si>
  <si>
    <t>Задолженность перед персоналом по оплате труда (кредиторская задолженность) на конец года</t>
  </si>
  <si>
    <t>Задолженность персонала по полученным авансам (дебиторская задолженность) на конец года</t>
  </si>
  <si>
    <t>Планируемые выплаты на оплату труда (с. 0100 - с. 0200 + с. 0300 - с. 0400 + с. 0500)</t>
  </si>
  <si>
    <t>3.6. Обоснование (расчет) плановых показателей по выплатам по оплате труда работников учреждения.</t>
  </si>
  <si>
    <t>3.6.1. Обоснование (расчет) плановых показателей по выплатам по элементу вида расходов классификации расходов бюджетов 111 "Фонд оплаты труда учреждений" (заполняется раздельно по источникам финансового обеспечения).</t>
  </si>
  <si>
    <t>Должность, группа должностей</t>
  </si>
  <si>
    <t>Установленная численность, единиц</t>
  </si>
  <si>
    <t>Среднемесячный размер оплаты труда на одного работника, руб.</t>
  </si>
  <si>
    <t>Фонд оплаты труда в год (гр. 3 x гр. 4 x 12)</t>
  </si>
  <si>
    <t>всего (гр. 5 + гр. 6 + гр. 7 + гр. 9 + гр. 11)</t>
  </si>
  <si>
    <t>по должностному окладу</t>
  </si>
  <si>
    <t>по выплатам компенсационного характера</t>
  </si>
  <si>
    <t>по выплатам стимулирующего характера</t>
  </si>
  <si>
    <t>северная надбавка</t>
  </si>
  <si>
    <t>районный коэффициент</t>
  </si>
  <si>
    <t>%</t>
  </si>
  <si>
    <t>сумма (гр. 5 + гр. 6 + гр. 7) x гр. 8 / 100</t>
  </si>
  <si>
    <t>сумма (гр. 5 + гр. 6 + гр. 7) x гр. 10 / 100</t>
  </si>
  <si>
    <t>Задолженность по обязательствам (кредиторская задолженность) на начало года</t>
  </si>
  <si>
    <t>Сумма излишне уплаченных либо излишне взысканных страховых взносов (дебиторская задолженность) на начало года</t>
  </si>
  <si>
    <t>Страховые взносы на обязательное социальное страхование</t>
  </si>
  <si>
    <t>Задолженность по уплате страховых взносов (кредиторская задолженность) на конец года</t>
  </si>
  <si>
    <t>Сумма излишне уплаченных либо излишне взысканных страховых взносов (дебиторская задолженность) на конец года</t>
  </si>
  <si>
    <t>Планируемые выплаты на страховые взносы на обязательное социальное страхование (с. 0100 - с. 0200 + с. 0300 - с. 0400 + с. 0500)</t>
  </si>
  <si>
    <t>3.7. Обоснование (расчет) плановых показателей по выплатам на страховые взносы по обязательному социальному страхованию.</t>
  </si>
  <si>
    <t>3.7.1. Обоснование (расчет) плановых показателей по выплатам на страховые взносы по обязательному социальному страхованию (заполняется раздельно по источникам финансового обеспечения).</t>
  </si>
  <si>
    <t>Наименование государственного внебюджетного фонда</t>
  </si>
  <si>
    <t>Размер базы для начисления страховых взносов, руб.</t>
  </si>
  <si>
    <t>Сумма взноса, руб.</t>
  </si>
  <si>
    <t>Страховые взносы в Пенсионный фонд Российской Федерации, всего</t>
  </si>
  <si>
    <t>по ставке 22,0%</t>
  </si>
  <si>
    <t>по ставке 10,0%</t>
  </si>
  <si>
    <t>с применением пониженных тарифов взносов в Пенсионный фонд Российской Федерации для отдельных категорий плательщиков</t>
  </si>
  <si>
    <t>Страховые взносы в Фонд социального страхования Российской Федерации, всего</t>
  </si>
  <si>
    <t>обязательное социальное страхование на случай временной нетрудоспособности и в связи с материнством по ставке 2,9%</t>
  </si>
  <si>
    <t>с применением ставки взносов в Фонд социального страхования Российской Федерации по ставке 0,0%</t>
  </si>
  <si>
    <t>обязательное социальное страхование от несчастных случаев на производстве и профессиональных заболеваний по ставке 0,2%</t>
  </si>
  <si>
    <t>обязательное социальное страхование от несчастных случаев на производстве и профессиональных заболеваний по ставке ____% &lt;*&gt;</t>
  </si>
  <si>
    <t>Страховые взносы в Федеральный фонд обязательного медицинского страхования, всего</t>
  </si>
  <si>
    <t>страховые взносы на обязательное медицинское страхование по ставке 5,1%</t>
  </si>
  <si>
    <t>3.7.2. Расчет страховых взносов по обязательному социальному страхованию (заполняется раздельно по источникам финансового обеспечения).</t>
  </si>
  <si>
    <t>Наименование расходов</t>
  </si>
  <si>
    <t>Средний размер выплаты на одного работника в день, руб.</t>
  </si>
  <si>
    <t>Количество работников, чел.</t>
  </si>
  <si>
    <t>Количество дней, дн.</t>
  </si>
  <si>
    <t>3.8. Обоснование (расчет) плановых показателей по выплатам компенсационного характера персоналу, за исключением фонда оплаты труда.</t>
  </si>
  <si>
    <t>3.8.1. Обоснование (расчет) выплат персоналу при направлении в служебные командировки (заполняется раздельно по источникам финансового обеспечения).</t>
  </si>
  <si>
    <t>Численность работников, получающих пособие, чел.</t>
  </si>
  <si>
    <t>Количество выплат в год на одного работника, шт.</t>
  </si>
  <si>
    <t>Размер выплаты (пособия) в месяц, руб.</t>
  </si>
  <si>
    <t>Размер одной выплаты, руб.</t>
  </si>
  <si>
    <t>Количество выплат в год</t>
  </si>
  <si>
    <t>Общая сумма выплат, руб.</t>
  </si>
  <si>
    <t>3.9. Обоснование (расчет) плановых показателей по выплатам на социальное обеспечение и иные выплаты населению.</t>
  </si>
  <si>
    <t>Налоговая база, руб.</t>
  </si>
  <si>
    <t>Ставка налога, %</t>
  </si>
  <si>
    <t>Сумма начисленного налога, подлежащего уплате, руб.</t>
  </si>
  <si>
    <t>3.10. Обоснование (расчет) плановых показателей по расходам на уплату налогов, сборов и иных платежей (заполняется раздельно по источникам финансового обеспечения).</t>
  </si>
  <si>
    <t>3.11. Обоснование (расчет) плановых показателей по расходам на безвозмездное перечисление организациям и физическим лицам (заполняется раздельно по источникам финансового обеспечения).</t>
  </si>
  <si>
    <t>3.12. Обоснование (расчет) плановых показателей по прочим расходам (кроме расходов на закупку товаров, работ и услуг) (заполняется раздельно по источникам финансового обеспечения).</t>
  </si>
  <si>
    <t>Задолженность по принятым и неисполненным обязательствам, полученные предварительные платежи (авансы) по контрактам (договорам) (кредиторская задолженность) на начало года</t>
  </si>
  <si>
    <t>Произведенные предварительные платежи (авансы) по контрактам (договорам) (дебиторская задолженность) на начало года</t>
  </si>
  <si>
    <t>Расходы на закупку товаров, работ и услуг, всего</t>
  </si>
  <si>
    <t>услуги связи</t>
  </si>
  <si>
    <t>транспортные услуги</t>
  </si>
  <si>
    <t>коммунальные услуги</t>
  </si>
  <si>
    <t>аренда имущества</t>
  </si>
  <si>
    <t>содержание имущества</t>
  </si>
  <si>
    <t>обязательное страхование</t>
  </si>
  <si>
    <t>повышение квалификации (профессиональная переподготовка)</t>
  </si>
  <si>
    <t>приобретение объектов движимого имущества</t>
  </si>
  <si>
    <t>приобретение материальных запасов</t>
  </si>
  <si>
    <t>Задолженность по принятым и неисполненным обязательствам, полученные предварительные платежи (авансы) по контрактам (договорам) (кредиторская задолженность) на конец года</t>
  </si>
  <si>
    <t>Произведенные предварительные платежи (авансы) по контрактам (договорам) (дебиторская задолженность) на конец года</t>
  </si>
  <si>
    <t>Планируемые выплаты на закупку товаров, работ и услуг (с. 0100 - с. 0200 + с. 0300 - с. 0400 + с. 0500)</t>
  </si>
  <si>
    <t>3.13. Обоснование (расчет) плановых показателей по расходам на закупки товаров, работ и услуг.</t>
  </si>
  <si>
    <t>3.13.1. Обоснование (расчет) плановых показателей по расходам на закупки товаров, работ и услуг.</t>
  </si>
  <si>
    <t>Количество номеров, ед.</t>
  </si>
  <si>
    <t>Количество платежей в год</t>
  </si>
  <si>
    <t>Стоимость за единицу, руб.</t>
  </si>
  <si>
    <t>3.13.2. Обоснование (расчет) плановых показателей по расходам на услуги связи.</t>
  </si>
  <si>
    <t>Количество услуг перевозки</t>
  </si>
  <si>
    <t>Цена услуги перевозки, руб.</t>
  </si>
  <si>
    <t>3.13.3. Обоснование (расчет) плановых показателей по расходам на транспортные услуги.</t>
  </si>
  <si>
    <t>Расчетное потребление ресурсов</t>
  </si>
  <si>
    <t>Тариф (с учетом НДС), руб.</t>
  </si>
  <si>
    <t>3.13.4. Обоснование (расчет) плановых показателей по расходам на коммунальные услуги.</t>
  </si>
  <si>
    <t>Арендуемая площадь (количество объектов), кв. м (ед.)</t>
  </si>
  <si>
    <t>Продолжительность аренды (месяц, день, час)</t>
  </si>
  <si>
    <t>Цена аренды в месяц (день, час), руб.</t>
  </si>
  <si>
    <t>3.13.5. Обоснование (расчет) плановых показателей по расходам на аренду имущества.</t>
  </si>
  <si>
    <t>Объект</t>
  </si>
  <si>
    <t>Количество работ (услуг)</t>
  </si>
  <si>
    <t>3.13.6. Обоснование (расчет) плановых показателей по расходам на содержание имущества.</t>
  </si>
  <si>
    <t>Количество застрахованных сотрудников, застрахованного имущества, чел. (ед.)</t>
  </si>
  <si>
    <t>Базовые ставки страховых тарифов с учетом поправочных коэффициентов к ним, руб.</t>
  </si>
  <si>
    <t>3.13.7. Обоснование (расчет) плановых показателей по расходам на обязательное страхование.</t>
  </si>
  <si>
    <t>Количество работников, направляемых на повышение квалификации (переподготовку), чел.</t>
  </si>
  <si>
    <t>Цена обучения одного работника, руб.</t>
  </si>
  <si>
    <t>3.13.8. Обоснование (расчет) плановых показателей по расходам на повышение квалификации (профессиональную переподготовку).</t>
  </si>
  <si>
    <t xml:space="preserve">доходы от оказания услуг, выполнения работ, в рамках установленного муниципального задания </t>
  </si>
  <si>
    <t>доходы от оказания услуг, выполнения работ за плату сверх установленного муниципального задания и иной приносящей доход деятельности, предусмотренной уставом учреждения:</t>
  </si>
  <si>
    <t>доходы от оказания услуг, выполнения работ в рамках установленного муниципального задания:                                    родительская плата</t>
  </si>
  <si>
    <t>Родительская плата</t>
  </si>
  <si>
    <t>Главный бухгалтер</t>
  </si>
  <si>
    <t>Доплата до МРОТ</t>
  </si>
  <si>
    <t>Замещение</t>
  </si>
  <si>
    <t>Краевой бюджет ДОУ пед.персонал</t>
  </si>
  <si>
    <t>Горячая вода 1 полугодие, м3</t>
  </si>
  <si>
    <t>Горячая вода 2 полугодие, м3</t>
  </si>
  <si>
    <t>Горячая вода 1 полугодие, Гкал</t>
  </si>
  <si>
    <t>Горячая вода 2 полугодие, Гкал</t>
  </si>
  <si>
    <t>Холодная вода 1 полугодие</t>
  </si>
  <si>
    <t>Водоотведение 1 полугодие</t>
  </si>
  <si>
    <t>Электроэнергия 1 полугодие</t>
  </si>
  <si>
    <t>Холодная вода 2 полугодие</t>
  </si>
  <si>
    <t>Водоотведение 2 полугодие</t>
  </si>
  <si>
    <t>Электроэнергия 2 полугодие</t>
  </si>
  <si>
    <t>ВСЕГО</t>
  </si>
  <si>
    <t>Остатки прошлых лет</t>
  </si>
  <si>
    <t>3.13.9. Обоснование (расчет) плановых показателей по расходам на оплату услуг и работ</t>
  </si>
  <si>
    <t>Количество договоров</t>
  </si>
  <si>
    <t>Стоимость, руб.</t>
  </si>
  <si>
    <t>3.13.10. Обоснование (расчет) плановых показателей по расходам на приобретение объектов движимого имущества</t>
  </si>
  <si>
    <t>Количество</t>
  </si>
  <si>
    <t>Средняя стоимость</t>
  </si>
  <si>
    <t>3.13.11. Обоснование (расчет) плановых показателей по расходам на приобретение материальных запасов</t>
  </si>
  <si>
    <t xml:space="preserve">оплата услуг и работ </t>
  </si>
  <si>
    <t>за счет субсидии</t>
  </si>
  <si>
    <t>за счет приносящей доход деятельности</t>
  </si>
  <si>
    <t>Доплата в месяц</t>
  </si>
  <si>
    <t>Фонд оплаты труда в год (9 месяцев с января по май, с сентября по декабрь)</t>
  </si>
  <si>
    <t>ИТОГО</t>
  </si>
  <si>
    <t>……………..(субвенция пед.персонал школа)</t>
  </si>
  <si>
    <t>ЭЦП</t>
  </si>
  <si>
    <t>Микробиологические исследования</t>
  </si>
  <si>
    <t>Продукты питания</t>
  </si>
  <si>
    <t>Канцелярские товары</t>
  </si>
  <si>
    <t>Краевой бюджет ДОУ АУП</t>
  </si>
  <si>
    <t xml:space="preserve">                                                                                </t>
  </si>
  <si>
    <t xml:space="preserve">                                                </t>
  </si>
  <si>
    <t xml:space="preserve">    СОГЛАСОВАНО</t>
  </si>
  <si>
    <t xml:space="preserve">      (подпись)                                           (расшифровка подписи)</t>
  </si>
  <si>
    <t>Моющие и дез. средства</t>
  </si>
  <si>
    <t>Хозяйственные товары</t>
  </si>
  <si>
    <t>Строительные товары</t>
  </si>
  <si>
    <t>Мягкий инвентарь</t>
  </si>
  <si>
    <t>Запчасти к оборудованию</t>
  </si>
  <si>
    <t>Почва,песок</t>
  </si>
  <si>
    <t>Печати, штампы</t>
  </si>
  <si>
    <t>на 2020 г.</t>
  </si>
  <si>
    <t>на 2021 г.</t>
  </si>
  <si>
    <t>на 2022г</t>
  </si>
  <si>
    <t>Приобретение методических пособий</t>
  </si>
  <si>
    <t>Материалы и предметы инвентаря для учебных занятий (игрушки)</t>
  </si>
  <si>
    <t>Картриджи, тонеры для принтеров, используемые для организации деятельности работниками</t>
  </si>
  <si>
    <t>Запасные части к оргтехнике</t>
  </si>
  <si>
    <t>Ценные подарки (медали,сувениры)</t>
  </si>
  <si>
    <t>Приобретение спецодежды и спецобуви</t>
  </si>
  <si>
    <t>Родительская плата (849)</t>
  </si>
  <si>
    <t>Услуги по реагированию на срабатывание тревожной сигнализации</t>
  </si>
  <si>
    <t>Услуги по реагированию на срабатывание охранной сигнализации</t>
  </si>
  <si>
    <t>Услуги по реагированию на проникновение на территорию</t>
  </si>
  <si>
    <t>Информационное обслуживание программы "1С:Бухгалтерия"</t>
  </si>
  <si>
    <t xml:space="preserve">Гигиеническая аттестация сотрудников </t>
  </si>
  <si>
    <t>Инструментальные замеры физ.факторов</t>
  </si>
  <si>
    <t>Медосмотр сотрудников</t>
  </si>
  <si>
    <t>Одномоментное однократное обследование детей</t>
  </si>
  <si>
    <t>Обучение сотрудников (ответств. по лифтам)</t>
  </si>
  <si>
    <t>Контроль огнезащиты кровли</t>
  </si>
  <si>
    <t>Услуги нотариуса</t>
  </si>
  <si>
    <t>Размещение информационного материала в газете</t>
  </si>
  <si>
    <t>Экспертиза технических средств, оборудования</t>
  </si>
  <si>
    <t>на 2022 г.</t>
  </si>
  <si>
    <t>Дератизация, дезинсекция</t>
  </si>
  <si>
    <t>Техническое обслуживание установок пожарной сигнализации</t>
  </si>
  <si>
    <t>Техническое обслуживание технических средств  охраны (тревожная кнопка)</t>
  </si>
  <si>
    <t>Техническое обслуживание и текущий ремонт малого грузового лифта</t>
  </si>
  <si>
    <t>Техническое обслуживание теплосчетчиков</t>
  </si>
  <si>
    <t>Техническое обслуживание объектовой станции "Стрелец-Мониторинг"</t>
  </si>
  <si>
    <t>Техническое обслуживание системы видеонаблюдения</t>
  </si>
  <si>
    <t>Устранение аварийных ситуаций</t>
  </si>
  <si>
    <t>Очистка территории от снега, крыш от сосулек</t>
  </si>
  <si>
    <t>Санитарная обрезка деревьев</t>
  </si>
  <si>
    <t>Проведение испытаний внутреннего пожарного водопровода</t>
  </si>
  <si>
    <t>Ремонт оборудования (пищеблока, прачечной)</t>
  </si>
  <si>
    <t>Поверка манометров, диэлектрических перчаток</t>
  </si>
  <si>
    <t>Поверка весов, медицинского измерительного инструмента</t>
  </si>
  <si>
    <t>Промывка и опрессовка отопительной системы</t>
  </si>
  <si>
    <t>Электроизмерительные работы (измерение сопротивления изоляции)</t>
  </si>
  <si>
    <t>Техническое освидетельствование малого грузового лифта</t>
  </si>
  <si>
    <t xml:space="preserve">Переподготовка кадров </t>
  </si>
  <si>
    <t>Гигиеническое обучение и аттестация</t>
  </si>
  <si>
    <t>Приобретение неисключительной лицензии для установки Windows 10 и Word 2010 на КП</t>
  </si>
  <si>
    <t>Техническое обслуживание и заправка копировальной техники</t>
  </si>
  <si>
    <t>Приобретение спортивного оборудования и инвентаря</t>
  </si>
  <si>
    <t>Подписка на периодические издания и расходы по их доставке</t>
  </si>
  <si>
    <t>Услуги по ремонту мебели</t>
  </si>
  <si>
    <t>Заправка и восстановление картриджей для оборудования, используемого сотрудниками</t>
  </si>
  <si>
    <t>Кастелянша*</t>
  </si>
  <si>
    <t>Кладовщик ДОУ*</t>
  </si>
  <si>
    <t>Повар ДОУ*</t>
  </si>
  <si>
    <t>Подсобный рабочий ДОУ*</t>
  </si>
  <si>
    <t>Шеф-повар*</t>
  </si>
  <si>
    <t>годовой ФОТ</t>
  </si>
  <si>
    <t>общ.ФОТвсех с замещ.</t>
  </si>
  <si>
    <t>на мрот</t>
  </si>
  <si>
    <t>месячный ФОТ</t>
  </si>
  <si>
    <t>Воспитатель*</t>
  </si>
  <si>
    <t>Инструктор по физкультуре ДОУ*</t>
  </si>
  <si>
    <t>Музыкальный руководитель*</t>
  </si>
  <si>
    <t>Педагог-психолог* ДОУ</t>
  </si>
  <si>
    <t>Старший воспитатель*</t>
  </si>
  <si>
    <t>Учитель-логопед* ДОУ</t>
  </si>
  <si>
    <t>замещение</t>
  </si>
  <si>
    <t>стимулирующие пед персонал</t>
  </si>
  <si>
    <t>повышающие коэффициенты</t>
  </si>
  <si>
    <t>краевые выплаты воспитателям</t>
  </si>
  <si>
    <t>на стимулирующие</t>
  </si>
  <si>
    <t>Делопроизводитель*</t>
  </si>
  <si>
    <t>Заведующий*</t>
  </si>
  <si>
    <t>Заместитель  по АХР*</t>
  </si>
  <si>
    <t>Заместитель заведующего по УВР</t>
  </si>
  <si>
    <t>Младший воспитатель*</t>
  </si>
  <si>
    <t>Специалист по охране труда*</t>
  </si>
  <si>
    <t>Системный администратор</t>
  </si>
  <si>
    <t>стимулирующий ФОТ заведующего 6,84 оклада в год</t>
  </si>
  <si>
    <t>стимулирующие прочие</t>
  </si>
  <si>
    <t>МРОТ</t>
  </si>
  <si>
    <t>Наименование занятий</t>
  </si>
  <si>
    <t>на 2022г.</t>
  </si>
  <si>
    <t>на 2021г.</t>
  </si>
  <si>
    <t>Возмещение по проезду к месту служебной командировки транспортом общего пользования при наличии билетов  (курсы повышения квалификации)</t>
  </si>
  <si>
    <t>Реализация основных общеобразовательных программ дошкольного образования (группа полного дня)</t>
  </si>
  <si>
    <t>Присмотр и уход (группа полного дня)</t>
  </si>
  <si>
    <t>Присмотр и уход (группа сокращенного дня)</t>
  </si>
  <si>
    <t>Присмотр и уход (дети-сироты и дети,оставшиеся без попечения)</t>
  </si>
  <si>
    <t>Присмотр и уход (дети-инвалиды)</t>
  </si>
  <si>
    <t>Заведующий МАДОУ ДСКН №3 г. Сосновоборска          ________________________     Е.В. Вашко</t>
  </si>
  <si>
    <t>Главный бухгалтер учреждения                            ________________________     М.В. Маркова</t>
  </si>
  <si>
    <t>Исполнитель                          _________________________________     М.В. Маркова</t>
  </si>
  <si>
    <t>Телефон 8 391 31 2 27 36</t>
  </si>
  <si>
    <t>«____» _______________ 20__г.</t>
  </si>
  <si>
    <t xml:space="preserve">                                    (наименование должности уполномоченного лица органа-учредителя)</t>
  </si>
  <si>
    <t xml:space="preserve">«____» _______________ 20__г..                                                  </t>
  </si>
  <si>
    <t>1.1</t>
  </si>
  <si>
    <r>
      <t xml:space="preserve">по контрактам (договорам), заключенным до начала текущего финансового года </t>
    </r>
    <r>
      <rPr>
        <b/>
        <sz val="12"/>
        <color theme="1"/>
        <rFont val="Times New Roman"/>
        <family val="1"/>
        <charset val="204"/>
      </rPr>
      <t>без применения</t>
    </r>
    <r>
      <rPr>
        <sz val="12"/>
        <color theme="1"/>
        <rFont val="Times New Roman"/>
        <family val="1"/>
        <charset val="204"/>
      </rPr>
      <t xml:space="preserve"> норм Федерального закона от 05.04.2013 N 44-ФЗ "О контрактной системе в сфере закупок товаров, работ, услуг для обеспечения государственных и муниципальных нужд" (далее - Федеральный закон N 44-ФЗ) и Федерального закона от 18.07.2011 N 223-ФЗ "О закупках товаров, работ, услуг отдельными видами юридических лиц" (далее - Федеральный закон N 223-ФЗ) &lt;11&gt;</t>
    </r>
  </si>
  <si>
    <r>
      <t xml:space="preserve">по контрактам (договорам), планируемым к заключению в соответствующем финансовом году </t>
    </r>
    <r>
      <rPr>
        <b/>
        <sz val="12"/>
        <color theme="1"/>
        <rFont val="Times New Roman"/>
        <family val="1"/>
        <charset val="204"/>
      </rPr>
      <t>без применения</t>
    </r>
    <r>
      <rPr>
        <sz val="12"/>
        <color theme="1"/>
        <rFont val="Times New Roman"/>
        <family val="1"/>
        <charset val="204"/>
      </rPr>
      <t xml:space="preserve"> норм Федерального закона N 44-ФЗ и Федерального закона N 223-ФЗ &lt;11&gt;</t>
    </r>
  </si>
  <si>
    <t>Реализация основных  адаптированных общеобразовательных программ дошкольного образования</t>
  </si>
  <si>
    <t>Возмещение по проезду к месту служебной командировки транспортом общего пользования при наличии билетов</t>
  </si>
  <si>
    <t xml:space="preserve">Электроэнергия 1полугодие </t>
  </si>
  <si>
    <t>по выплатам персонального характера</t>
  </si>
  <si>
    <t xml:space="preserve"> _______________________________________________И.И.Кудряшова</t>
  </si>
  <si>
    <t xml:space="preserve">Руководитель управления образования г. Сосновоборска   </t>
  </si>
  <si>
    <t>факт</t>
  </si>
  <si>
    <t>остаток</t>
  </si>
  <si>
    <t>Лицензия на кассу Sigma тарифный план "Старт"</t>
  </si>
  <si>
    <t>Рециркуляторы</t>
  </si>
  <si>
    <t>Интерактивные доски</t>
  </si>
  <si>
    <t>ст.341</t>
  </si>
  <si>
    <t>ст.344</t>
  </si>
  <si>
    <t>ст.345</t>
  </si>
  <si>
    <t>ст.349</t>
  </si>
  <si>
    <t>ст.346</t>
  </si>
  <si>
    <t>иные выплаты населению</t>
  </si>
  <si>
    <t>гранты, предоставляемые бюджетным учреждениям</t>
  </si>
  <si>
    <t>гранты, предоставляемые автономным учреждениям</t>
  </si>
  <si>
    <t>гранты, предоставляемые иным некоммерческим организациям (за исключением бюджетных и автономных учреждений)</t>
  </si>
  <si>
    <t>из них &lt;10.1&gt;</t>
  </si>
  <si>
    <t>26310.1</t>
  </si>
  <si>
    <t>26421.1</t>
  </si>
  <si>
    <t>26430.1</t>
  </si>
  <si>
    <t>26451.1</t>
  </si>
  <si>
    <t>на МРОТ</t>
  </si>
  <si>
    <t>Госпошлина</t>
  </si>
  <si>
    <t>на 2023 г.</t>
  </si>
  <si>
    <t>Техническое обслуживание сайта</t>
  </si>
  <si>
    <t>Стиральная машина бытовая для прачечной</t>
  </si>
  <si>
    <t>на 2023 г</t>
  </si>
  <si>
    <t>расходы на выплаты военнослужащим и сотрудникам, имеющим специальные звания, зависящие от размера денежного довольствия</t>
  </si>
  <si>
    <t>4.1</t>
  </si>
  <si>
    <t>Код бюджетной классификации Российской Федерации &lt;10.1&gt;</t>
  </si>
  <si>
    <t>0701 0210080610 621</t>
  </si>
  <si>
    <t>0701 021R373980 622</t>
  </si>
  <si>
    <t>0701 0210075880 622</t>
  </si>
  <si>
    <t>0701 0210075880 621</t>
  </si>
  <si>
    <t>0701 0210074080 621</t>
  </si>
  <si>
    <t>0701 0210075540 622</t>
  </si>
  <si>
    <t>0701 4200099000 849</t>
  </si>
  <si>
    <t>0701 4200099000 853</t>
  </si>
  <si>
    <t>0701 4200099000 849                          (остаток на начало текущего финансового года)</t>
  </si>
  <si>
    <t>0701 4200099000 853                 (остаток на начало текущего финансового года)</t>
  </si>
  <si>
    <t>Интернет   0701 0210075880 621</t>
  </si>
  <si>
    <t>Телефон    0701 0210074080 621</t>
  </si>
  <si>
    <t>0701 0210074080 621   (остаток средств на начало текущего финансового года)</t>
  </si>
  <si>
    <t>0701 0210075880 621   (остаток средств на начало текущего финансового года)</t>
  </si>
  <si>
    <t>(кружки)</t>
  </si>
  <si>
    <t>Энергосервисный договор 1 полугодие, Гкал</t>
  </si>
  <si>
    <t>Энергосервисный договор 2 полугодие, Гкал</t>
  </si>
  <si>
    <t>уведомление</t>
  </si>
  <si>
    <t>квр</t>
  </si>
  <si>
    <t>Тепловая энергия 1 полугодие, Гкал</t>
  </si>
  <si>
    <t>Тепловая энергия 2 полугодие, Гкал</t>
  </si>
  <si>
    <t>Кружок "Веселый оркестр"</t>
  </si>
  <si>
    <t>Кружок "Волшебные краски"</t>
  </si>
  <si>
    <t>Кружок "Капитошки"</t>
  </si>
  <si>
    <t>Кружок "Капельки"</t>
  </si>
  <si>
    <t>Кружок "Роботенок"</t>
  </si>
  <si>
    <t>Кружок "Болтунишки"</t>
  </si>
  <si>
    <t>Кружок "Гармония"йога-сказка</t>
  </si>
  <si>
    <t>"Юный гений"(ментальная арифметика)</t>
  </si>
  <si>
    <t>Комфорт (нейропсихологическая коррекция)</t>
  </si>
  <si>
    <t>Логопедические занятия</t>
  </si>
  <si>
    <t>Комплексное обслуживание инженерных систем здания</t>
  </si>
  <si>
    <t>закупка энергетических ресурсов</t>
  </si>
  <si>
    <t>0701 0210080610 622</t>
  </si>
  <si>
    <t>Акарицидная (противоклещевая) обработка территории</t>
  </si>
  <si>
    <t>Работы по разметке спортивной площадки</t>
  </si>
  <si>
    <t>Бухгалтер</t>
  </si>
  <si>
    <t>ABC английский язык</t>
  </si>
  <si>
    <t>Приобретение кафельной плитки</t>
  </si>
  <si>
    <t>Строительные материалы</t>
  </si>
  <si>
    <t>Весы</t>
  </si>
  <si>
    <t>Уплата платежей (пени)</t>
  </si>
  <si>
    <t>0701 1210086700 622</t>
  </si>
  <si>
    <t>местный бюджет (доп.КР 31,36)</t>
  </si>
  <si>
    <t>краевой бюджет (доп.КР 30)</t>
  </si>
  <si>
    <t>Подключение к сайту модуля визуализации электронной подписи</t>
  </si>
  <si>
    <t>на 2024 г.</t>
  </si>
  <si>
    <t>Учитель-дефектолог* ДОУ</t>
  </si>
  <si>
    <t xml:space="preserve">3.6.3. Расчет фонда оплаты труда на 2022 г. (текущий финансовый год) </t>
  </si>
  <si>
    <t>3.6.4. Расчет фонда оплаты труда на 2023 г. (первый год финансового плана) (заполняется раздельно по источникам финансового обеспечения).</t>
  </si>
  <si>
    <t>3.6.5. Расчет фонда оплаты труда на 2024г. (второй год планового периода) (заполняется раздельно по источникам финансового обеспечения).</t>
  </si>
  <si>
    <t>ТКО, 1 полугодие</t>
  </si>
  <si>
    <t>ТКО, 2 полугодие</t>
  </si>
  <si>
    <t>Поверка теплосчетчика</t>
  </si>
  <si>
    <t>Работы по ремонту пола и укладке линолеума в группах №11,14</t>
  </si>
  <si>
    <t xml:space="preserve">Работы по ремонту прачечной </t>
  </si>
  <si>
    <t>Подкючение к оператору фискальных данных (ОФД) на 36 мес.</t>
  </si>
  <si>
    <t>Спец.оценка условий труда</t>
  </si>
  <si>
    <t>Приобретение мебели для учебно-образовательного процесса (шкаф для наглядных пособий)</t>
  </si>
  <si>
    <t>Приобретение оргтехники (ноутбук)</t>
  </si>
  <si>
    <t>Скамейки</t>
  </si>
  <si>
    <t>Полки для посуды</t>
  </si>
  <si>
    <t>Стелажи для хранения продуктов</t>
  </si>
  <si>
    <t>Дверь противопожарная</t>
  </si>
  <si>
    <t>Шкаф для кборочного инвентаря</t>
  </si>
  <si>
    <t>Конструктор Лего</t>
  </si>
  <si>
    <t>Двери ПВХ</t>
  </si>
  <si>
    <t>Шкаф для уборочного инвентаря</t>
  </si>
  <si>
    <t>Чайник</t>
  </si>
  <si>
    <t>Стеллаж для музея</t>
  </si>
  <si>
    <t>Стулья кожаные</t>
  </si>
  <si>
    <t>Ремонт лестничных пролетов</t>
  </si>
  <si>
    <t>Выполнение работ по замене перил</t>
  </si>
  <si>
    <t>Телевизор (диаг. 85)</t>
  </si>
  <si>
    <t>Электротехнические товары</t>
  </si>
  <si>
    <t>Бланки</t>
  </si>
  <si>
    <t>Товары медицинского назначения</t>
  </si>
  <si>
    <t>Сантехнические товары</t>
  </si>
  <si>
    <t>Посуда и кухонный инвентарь</t>
  </si>
  <si>
    <t>на 2023г</t>
  </si>
  <si>
    <t>общее</t>
  </si>
  <si>
    <t>+ новое штатное</t>
  </si>
  <si>
    <t>7588 (иные)</t>
  </si>
  <si>
    <t>8061 (бюджет)</t>
  </si>
  <si>
    <t>7408 (прочие)</t>
  </si>
  <si>
    <t>7588 (педагоги)</t>
  </si>
  <si>
    <t>7554 (питание)</t>
  </si>
  <si>
    <t>Техническое обслуживание ключа SSL</t>
  </si>
  <si>
    <t>3.8.2 Обоснование (расчет) выплат персоналу.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</si>
</sst>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_-* #,##0.00_р_._-;\-* #,##0.00_р_._-;_-* &quot;-&quot;??_р_._-;_-@_-"/>
    <numFmt numFmtId="165" formatCode="#,##0.00\ _₽"/>
    <numFmt numFmtId="166" formatCode="0.000"/>
  </numFmts>
  <fonts count="24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u/>
      <sz val="10"/>
      <color theme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sz val="8"/>
      <name val="Arial"/>
      <family val="2"/>
    </font>
    <font>
      <b/>
      <sz val="9"/>
      <color indexed="81"/>
      <name val="Tahoma"/>
      <family val="2"/>
      <charset val="204"/>
    </font>
    <font>
      <b/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u/>
      <sz val="13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name val="Arial Cyr"/>
      <family val="2"/>
      <charset val="204"/>
    </font>
    <font>
      <sz val="9"/>
      <color indexed="81"/>
      <name val="Tahoma"/>
      <family val="2"/>
      <charset val="204"/>
    </font>
    <font>
      <sz val="9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8">
    <xf numFmtId="0" fontId="0" fillId="0" borderId="0"/>
    <xf numFmtId="0" fontId="3" fillId="0" borderId="0" applyNumberFormat="0" applyFill="0" applyBorder="0" applyAlignment="0" applyProtection="0"/>
    <xf numFmtId="164" fontId="11" fillId="0" borderId="0" applyFont="0" applyFill="0" applyBorder="0" applyAlignment="0" applyProtection="0"/>
    <xf numFmtId="0" fontId="12" fillId="0" borderId="0"/>
    <xf numFmtId="0" fontId="13" fillId="0" borderId="0"/>
    <xf numFmtId="43" fontId="12" fillId="0" borderId="0" applyFont="0" applyFill="0" applyBorder="0" applyAlignment="0" applyProtection="0"/>
    <xf numFmtId="0" fontId="14" fillId="0" borderId="0"/>
    <xf numFmtId="0" fontId="21" fillId="0" borderId="0"/>
  </cellStyleXfs>
  <cellXfs count="268">
    <xf numFmtId="0" fontId="0" fillId="0" borderId="0" xfId="0"/>
    <xf numFmtId="0" fontId="6" fillId="0" borderId="1" xfId="0" applyFont="1" applyBorder="1" applyAlignment="1">
      <alignment horizontal="center" vertical="center" wrapText="1"/>
    </xf>
    <xf numFmtId="0" fontId="1" fillId="0" borderId="0" xfId="0" applyFont="1"/>
    <xf numFmtId="4" fontId="6" fillId="0" borderId="1" xfId="0" applyNumberFormat="1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4" fontId="6" fillId="0" borderId="1" xfId="0" applyNumberFormat="1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/>
    </xf>
    <xf numFmtId="0" fontId="6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9" fillId="2" borderId="0" xfId="0" applyFont="1" applyFill="1"/>
    <xf numFmtId="0" fontId="9" fillId="2" borderId="1" xfId="0" applyFont="1" applyFill="1" applyBorder="1" applyAlignment="1">
      <alignment horizontal="center" vertical="center" wrapText="1"/>
    </xf>
    <xf numFmtId="0" fontId="9" fillId="2" borderId="1" xfId="1" applyFont="1" applyFill="1" applyBorder="1" applyAlignment="1">
      <alignment vertical="center" wrapText="1"/>
    </xf>
    <xf numFmtId="0" fontId="9" fillId="2" borderId="1" xfId="0" applyFont="1" applyFill="1" applyBorder="1" applyAlignment="1">
      <alignment vertical="center" wrapText="1"/>
    </xf>
    <xf numFmtId="0" fontId="9" fillId="2" borderId="3" xfId="0" applyFont="1" applyFill="1" applyBorder="1" applyAlignment="1">
      <alignment vertical="center" wrapText="1"/>
    </xf>
    <xf numFmtId="4" fontId="9" fillId="2" borderId="0" xfId="0" applyNumberFormat="1" applyFont="1" applyFill="1"/>
    <xf numFmtId="0" fontId="1" fillId="2" borderId="0" xfId="0" applyFont="1" applyFill="1"/>
    <xf numFmtId="0" fontId="1" fillId="2" borderId="0" xfId="0" applyFont="1" applyFill="1" applyAlignment="1">
      <alignment wrapText="1"/>
    </xf>
    <xf numFmtId="0" fontId="6" fillId="2" borderId="1" xfId="0" applyFont="1" applyFill="1" applyBorder="1" applyAlignment="1">
      <alignment vertical="center" wrapText="1"/>
    </xf>
    <xf numFmtId="4" fontId="6" fillId="2" borderId="1" xfId="0" applyNumberFormat="1" applyFont="1" applyFill="1" applyBorder="1" applyAlignment="1">
      <alignment vertical="center" wrapText="1"/>
    </xf>
    <xf numFmtId="0" fontId="16" fillId="2" borderId="1" xfId="0" applyFont="1" applyFill="1" applyBorder="1" applyAlignment="1">
      <alignment vertical="center" wrapText="1"/>
    </xf>
    <xf numFmtId="4" fontId="16" fillId="2" borderId="1" xfId="0" applyNumberFormat="1" applyFont="1" applyFill="1" applyBorder="1" applyAlignment="1">
      <alignment vertical="center" wrapText="1"/>
    </xf>
    <xf numFmtId="2" fontId="6" fillId="2" borderId="1" xfId="0" applyNumberFormat="1" applyFont="1" applyFill="1" applyBorder="1" applyAlignment="1">
      <alignment vertical="center" wrapText="1"/>
    </xf>
    <xf numFmtId="164" fontId="6" fillId="2" borderId="1" xfId="2" applyFont="1" applyFill="1" applyBorder="1" applyAlignment="1">
      <alignment horizontal="righ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1" fillId="0" borderId="0" xfId="0" applyFont="1" applyFill="1"/>
    <xf numFmtId="0" fontId="6" fillId="0" borderId="1" xfId="0" applyFont="1" applyFill="1" applyBorder="1" applyAlignment="1">
      <alignment vertical="center" wrapText="1"/>
    </xf>
    <xf numFmtId="4" fontId="16" fillId="0" borderId="1" xfId="0" applyNumberFormat="1" applyFont="1" applyFill="1" applyBorder="1" applyAlignment="1">
      <alignment vertical="center" wrapText="1"/>
    </xf>
    <xf numFmtId="2" fontId="6" fillId="0" borderId="1" xfId="0" applyNumberFormat="1" applyFont="1" applyFill="1" applyBorder="1" applyAlignment="1">
      <alignment horizontal="right" vertical="center" wrapText="1"/>
    </xf>
    <xf numFmtId="4" fontId="8" fillId="0" borderId="1" xfId="0" applyNumberFormat="1" applyFont="1" applyFill="1" applyBorder="1" applyAlignment="1">
      <alignment vertical="center" wrapText="1"/>
    </xf>
    <xf numFmtId="164" fontId="6" fillId="0" borderId="1" xfId="2" applyFont="1" applyFill="1" applyBorder="1" applyAlignment="1">
      <alignment horizontal="right" wrapText="1"/>
    </xf>
    <xf numFmtId="164" fontId="6" fillId="0" borderId="1" xfId="2" applyFont="1" applyBorder="1" applyAlignment="1">
      <alignment horizontal="right" vertical="center" wrapText="1"/>
    </xf>
    <xf numFmtId="0" fontId="6" fillId="2" borderId="1" xfId="0" applyFont="1" applyFill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2" fontId="1" fillId="0" borderId="0" xfId="0" applyNumberFormat="1" applyFont="1"/>
    <xf numFmtId="43" fontId="6" fillId="0" borderId="1" xfId="0" applyNumberFormat="1" applyFont="1" applyFill="1" applyBorder="1" applyAlignment="1">
      <alignment horizontal="right" wrapText="1"/>
    </xf>
    <xf numFmtId="0" fontId="6" fillId="0" borderId="1" xfId="0" applyFont="1" applyFill="1" applyBorder="1" applyAlignment="1">
      <alignment horizontal="right" wrapText="1"/>
    </xf>
    <xf numFmtId="4" fontId="6" fillId="2" borderId="1" xfId="0" applyNumberFormat="1" applyFont="1" applyFill="1" applyBorder="1" applyAlignment="1">
      <alignment vertical="center" wrapText="1"/>
    </xf>
    <xf numFmtId="164" fontId="16" fillId="0" borderId="1" xfId="2" applyFont="1" applyBorder="1" applyAlignment="1">
      <alignment horizontal="right" wrapText="1"/>
    </xf>
    <xf numFmtId="164" fontId="16" fillId="0" borderId="1" xfId="2" applyFont="1" applyBorder="1" applyAlignment="1">
      <alignment horizontal="right" vertical="center" wrapText="1"/>
    </xf>
    <xf numFmtId="0" fontId="9" fillId="3" borderId="1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3" borderId="1" xfId="1" applyFont="1" applyFill="1" applyBorder="1" applyAlignment="1">
      <alignment vertical="center" wrapText="1"/>
    </xf>
    <xf numFmtId="4" fontId="6" fillId="2" borderId="1" xfId="0" applyNumberFormat="1" applyFont="1" applyFill="1" applyBorder="1" applyAlignment="1">
      <alignment vertical="center" wrapText="1"/>
    </xf>
    <xf numFmtId="0" fontId="17" fillId="0" borderId="0" xfId="0" applyFont="1" applyFill="1"/>
    <xf numFmtId="0" fontId="4" fillId="0" borderId="0" xfId="0" applyFont="1" applyFill="1"/>
    <xf numFmtId="4" fontId="6" fillId="0" borderId="1" xfId="0" applyNumberFormat="1" applyFont="1" applyFill="1" applyBorder="1" applyAlignment="1">
      <alignment horizontal="right" vertical="center" wrapText="1"/>
    </xf>
    <xf numFmtId="164" fontId="16" fillId="0" borderId="1" xfId="2" applyFont="1" applyFill="1" applyBorder="1" applyAlignment="1">
      <alignment horizontal="right" wrapText="1"/>
    </xf>
    <xf numFmtId="0" fontId="1" fillId="0" borderId="1" xfId="0" applyFont="1" applyFill="1" applyBorder="1" applyAlignment="1">
      <alignment horizontal="right" vertical="center"/>
    </xf>
    <xf numFmtId="2" fontId="1" fillId="0" borderId="1" xfId="0" applyNumberFormat="1" applyFont="1" applyFill="1" applyBorder="1" applyAlignment="1">
      <alignment horizontal="right" vertical="center"/>
    </xf>
    <xf numFmtId="2" fontId="17" fillId="0" borderId="1" xfId="0" applyNumberFormat="1" applyFont="1" applyFill="1" applyBorder="1" applyAlignment="1">
      <alignment horizontal="right" vertical="center"/>
    </xf>
    <xf numFmtId="2" fontId="17" fillId="0" borderId="1" xfId="0" applyNumberFormat="1" applyFont="1" applyFill="1" applyBorder="1"/>
    <xf numFmtId="0" fontId="9" fillId="2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4" fillId="0" borderId="1" xfId="1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4" fontId="9" fillId="3" borderId="1" xfId="0" applyNumberFormat="1" applyFont="1" applyFill="1" applyBorder="1" applyAlignment="1">
      <alignment horizontal="center" vertical="center" wrapText="1"/>
    </xf>
    <xf numFmtId="4" fontId="9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4" fontId="9" fillId="0" borderId="1" xfId="0" applyNumberFormat="1" applyFont="1" applyFill="1" applyBorder="1" applyAlignment="1">
      <alignment horizontal="center" vertical="center" wrapText="1"/>
    </xf>
    <xf numFmtId="4" fontId="9" fillId="2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vertical="center" wrapText="1"/>
    </xf>
    <xf numFmtId="4" fontId="19" fillId="0" borderId="1" xfId="0" applyNumberFormat="1" applyFont="1" applyFill="1" applyBorder="1" applyAlignment="1">
      <alignment vertical="center" wrapText="1"/>
    </xf>
    <xf numFmtId="4" fontId="9" fillId="2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vertical="center" wrapText="1"/>
    </xf>
    <xf numFmtId="0" fontId="1" fillId="0" borderId="0" xfId="0" applyFont="1" applyFill="1" applyAlignment="1">
      <alignment horizontal="left"/>
    </xf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left" wrapText="1"/>
    </xf>
    <xf numFmtId="0" fontId="16" fillId="0" borderId="1" xfId="0" applyFont="1" applyFill="1" applyBorder="1" applyAlignment="1">
      <alignment vertical="center" wrapText="1"/>
    </xf>
    <xf numFmtId="4" fontId="6" fillId="0" borderId="1" xfId="0" applyNumberFormat="1" applyFont="1" applyFill="1" applyBorder="1" applyAlignment="1">
      <alignment horizontal="right" wrapText="1"/>
    </xf>
    <xf numFmtId="4" fontId="16" fillId="0" borderId="1" xfId="0" applyNumberFormat="1" applyFont="1" applyFill="1" applyBorder="1" applyAlignment="1">
      <alignment horizontal="right" wrapText="1"/>
    </xf>
    <xf numFmtId="0" fontId="6" fillId="0" borderId="1" xfId="0" applyFont="1" applyFill="1" applyBorder="1" applyAlignment="1">
      <alignment horizontal="right" vertical="center" wrapText="1"/>
    </xf>
    <xf numFmtId="0" fontId="17" fillId="0" borderId="1" xfId="0" applyFont="1" applyFill="1" applyBorder="1"/>
    <xf numFmtId="0" fontId="17" fillId="0" borderId="1" xfId="0" applyFont="1" applyFill="1" applyBorder="1" applyAlignment="1">
      <alignment horizontal="right" vertical="center"/>
    </xf>
    <xf numFmtId="0" fontId="1" fillId="0" borderId="14" xfId="0" applyFont="1" applyFill="1" applyBorder="1"/>
    <xf numFmtId="0" fontId="1" fillId="0" borderId="15" xfId="0" applyFont="1" applyFill="1" applyBorder="1"/>
    <xf numFmtId="0" fontId="1" fillId="0" borderId="12" xfId="0" applyFont="1" applyFill="1" applyBorder="1"/>
    <xf numFmtId="0" fontId="6" fillId="0" borderId="5" xfId="0" applyFont="1" applyFill="1" applyBorder="1" applyAlignment="1">
      <alignment wrapText="1"/>
    </xf>
    <xf numFmtId="164" fontId="6" fillId="0" borderId="1" xfId="0" applyNumberFormat="1" applyFont="1" applyFill="1" applyBorder="1" applyAlignment="1">
      <alignment horizontal="right" wrapText="1"/>
    </xf>
    <xf numFmtId="2" fontId="16" fillId="0" borderId="1" xfId="2" applyNumberFormat="1" applyFont="1" applyFill="1" applyBorder="1" applyAlignment="1">
      <alignment horizontal="right" wrapText="1"/>
    </xf>
    <xf numFmtId="2" fontId="6" fillId="0" borderId="1" xfId="0" applyNumberFormat="1" applyFont="1" applyFill="1" applyBorder="1" applyAlignment="1">
      <alignment horizontal="right" wrapText="1"/>
    </xf>
    <xf numFmtId="164" fontId="16" fillId="0" borderId="1" xfId="0" applyNumberFormat="1" applyFont="1" applyFill="1" applyBorder="1" applyAlignment="1">
      <alignment horizontal="right" wrapText="1"/>
    </xf>
    <xf numFmtId="165" fontId="6" fillId="0" borderId="1" xfId="0" applyNumberFormat="1" applyFont="1" applyFill="1" applyBorder="1" applyAlignment="1">
      <alignment vertical="center" wrapText="1"/>
    </xf>
    <xf numFmtId="2" fontId="16" fillId="0" borderId="1" xfId="0" applyNumberFormat="1" applyFont="1" applyFill="1" applyBorder="1" applyAlignment="1">
      <alignment horizontal="right" wrapText="1"/>
    </xf>
    <xf numFmtId="0" fontId="9" fillId="2" borderId="1" xfId="0" applyFont="1" applyFill="1" applyBorder="1" applyAlignment="1">
      <alignment horizontal="center" vertical="center" wrapText="1"/>
    </xf>
    <xf numFmtId="4" fontId="9" fillId="2" borderId="1" xfId="0" applyNumberFormat="1" applyFont="1" applyFill="1" applyBorder="1" applyAlignment="1">
      <alignment horizontal="center" vertical="center" wrapText="1"/>
    </xf>
    <xf numFmtId="49" fontId="6" fillId="0" borderId="6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/>
    <xf numFmtId="0" fontId="9" fillId="2" borderId="1" xfId="0" applyFont="1" applyFill="1" applyBorder="1" applyAlignment="1">
      <alignment horizontal="center" vertical="center" wrapText="1"/>
    </xf>
    <xf numFmtId="4" fontId="9" fillId="2" borderId="1" xfId="0" applyNumberFormat="1" applyFont="1" applyFill="1" applyBorder="1" applyAlignment="1">
      <alignment horizontal="center" vertical="center" wrapText="1"/>
    </xf>
    <xf numFmtId="164" fontId="9" fillId="2" borderId="1" xfId="2" applyFont="1" applyFill="1" applyBorder="1" applyAlignment="1">
      <alignment vertical="center" wrapText="1"/>
    </xf>
    <xf numFmtId="4" fontId="9" fillId="2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" fontId="8" fillId="3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wrapText="1"/>
    </xf>
    <xf numFmtId="0" fontId="6" fillId="0" borderId="5" xfId="0" applyFont="1" applyFill="1" applyBorder="1" applyAlignment="1">
      <alignment horizont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64" fontId="16" fillId="0" borderId="1" xfId="2" applyFont="1" applyFill="1" applyBorder="1" applyAlignment="1">
      <alignment horizontal="right" vertical="center" wrapText="1"/>
    </xf>
    <xf numFmtId="0" fontId="1" fillId="0" borderId="1" xfId="0" applyFont="1" applyFill="1" applyBorder="1"/>
    <xf numFmtId="0" fontId="9" fillId="0" borderId="1" xfId="0" applyFont="1" applyFill="1" applyBorder="1" applyAlignment="1">
      <alignment vertical="top" wrapText="1"/>
    </xf>
    <xf numFmtId="0" fontId="1" fillId="0" borderId="1" xfId="3" applyFont="1" applyFill="1" applyBorder="1" applyAlignment="1">
      <alignment horizontal="center" vertical="center" wrapText="1"/>
    </xf>
    <xf numFmtId="165" fontId="1" fillId="0" borderId="1" xfId="3" applyNumberFormat="1" applyFont="1" applyFill="1" applyBorder="1" applyAlignment="1">
      <alignment horizontal="right" vertical="center" wrapText="1"/>
    </xf>
    <xf numFmtId="4" fontId="9" fillId="0" borderId="1" xfId="0" applyNumberFormat="1" applyFont="1" applyFill="1" applyBorder="1" applyAlignment="1">
      <alignment horizontal="right" vertical="center"/>
    </xf>
    <xf numFmtId="2" fontId="1" fillId="0" borderId="1" xfId="0" applyNumberFormat="1" applyFont="1" applyFill="1" applyBorder="1"/>
    <xf numFmtId="0" fontId="9" fillId="0" borderId="1" xfId="0" applyFont="1" applyFill="1" applyBorder="1" applyAlignment="1">
      <alignment wrapText="1"/>
    </xf>
    <xf numFmtId="4" fontId="9" fillId="0" borderId="1" xfId="0" applyNumberFormat="1" applyFont="1" applyFill="1" applyBorder="1" applyAlignment="1">
      <alignment horizontal="right"/>
    </xf>
    <xf numFmtId="4" fontId="23" fillId="0" borderId="1" xfId="0" applyNumberFormat="1" applyFont="1" applyFill="1" applyBorder="1" applyAlignment="1">
      <alignment horizontal="right"/>
    </xf>
    <xf numFmtId="0" fontId="9" fillId="0" borderId="1" xfId="3" applyFont="1" applyFill="1" applyBorder="1" applyAlignment="1">
      <alignment horizontal="left" vertical="center" wrapText="1"/>
    </xf>
    <xf numFmtId="4" fontId="9" fillId="0" borderId="1" xfId="3" applyNumberFormat="1" applyFont="1" applyFill="1" applyBorder="1" applyAlignment="1">
      <alignment horizontal="right" vertical="center"/>
    </xf>
    <xf numFmtId="165" fontId="6" fillId="0" borderId="1" xfId="0" applyNumberFormat="1" applyFont="1" applyFill="1" applyBorder="1" applyAlignment="1">
      <alignment horizontal="right" vertical="center" wrapText="1"/>
    </xf>
    <xf numFmtId="2" fontId="9" fillId="0" borderId="1" xfId="0" applyNumberFormat="1" applyFont="1" applyFill="1" applyBorder="1" applyAlignment="1">
      <alignment horizontal="right" vertical="center"/>
    </xf>
    <xf numFmtId="0" fontId="9" fillId="0" borderId="1" xfId="3" applyFont="1" applyFill="1" applyBorder="1" applyAlignment="1">
      <alignment vertical="center" wrapText="1"/>
    </xf>
    <xf numFmtId="0" fontId="9" fillId="0" borderId="1" xfId="3" applyFont="1" applyFill="1" applyBorder="1" applyAlignment="1">
      <alignment vertical="top" wrapText="1"/>
    </xf>
    <xf numFmtId="2" fontId="9" fillId="0" borderId="1" xfId="3" applyNumberFormat="1" applyFont="1" applyFill="1" applyBorder="1" applyAlignment="1">
      <alignment horizontal="right" vertical="center"/>
    </xf>
    <xf numFmtId="4" fontId="1" fillId="0" borderId="1" xfId="0" applyNumberFormat="1" applyFont="1" applyFill="1" applyBorder="1" applyAlignment="1">
      <alignment horizontal="right" vertical="center"/>
    </xf>
    <xf numFmtId="0" fontId="1" fillId="0" borderId="0" xfId="0" applyFont="1" applyFill="1" applyAlignment="1">
      <alignment horizontal="right" vertical="center"/>
    </xf>
    <xf numFmtId="0" fontId="9" fillId="0" borderId="1" xfId="3" applyFont="1" applyFill="1" applyBorder="1" applyAlignment="1">
      <alignment horizontal="left" wrapText="1"/>
    </xf>
    <xf numFmtId="2" fontId="1" fillId="0" borderId="1" xfId="3" applyNumberFormat="1" applyFont="1" applyFill="1" applyBorder="1" applyAlignment="1">
      <alignment horizontal="right" wrapText="1"/>
    </xf>
    <xf numFmtId="2" fontId="1" fillId="0" borderId="1" xfId="0" applyNumberFormat="1" applyFont="1" applyFill="1" applyBorder="1" applyAlignment="1"/>
    <xf numFmtId="2" fontId="17" fillId="0" borderId="1" xfId="0" applyNumberFormat="1" applyFont="1" applyFill="1" applyBorder="1" applyAlignment="1"/>
    <xf numFmtId="0" fontId="6" fillId="0" borderId="0" xfId="0" applyFont="1" applyFill="1" applyBorder="1" applyAlignment="1">
      <alignment vertical="center" wrapText="1"/>
    </xf>
    <xf numFmtId="4" fontId="16" fillId="0" borderId="0" xfId="0" applyNumberFormat="1" applyFont="1" applyFill="1" applyBorder="1" applyAlignment="1">
      <alignment vertical="center" wrapText="1"/>
    </xf>
    <xf numFmtId="4" fontId="6" fillId="0" borderId="0" xfId="0" applyNumberFormat="1" applyFont="1" applyFill="1" applyBorder="1" applyAlignment="1">
      <alignment vertical="center" wrapText="1"/>
    </xf>
    <xf numFmtId="2" fontId="6" fillId="0" borderId="1" xfId="2" applyNumberFormat="1" applyFont="1" applyFill="1" applyBorder="1" applyAlignment="1">
      <alignment horizontal="right" wrapText="1"/>
    </xf>
    <xf numFmtId="0" fontId="1" fillId="0" borderId="1" xfId="3" applyNumberFormat="1" applyFont="1" applyFill="1" applyBorder="1" applyAlignment="1">
      <alignment horizontal="right" wrapText="1"/>
    </xf>
    <xf numFmtId="2" fontId="17" fillId="0" borderId="0" xfId="0" applyNumberFormat="1" applyFont="1" applyFill="1" applyBorder="1" applyAlignment="1">
      <alignment horizontal="right" vertical="center"/>
    </xf>
    <xf numFmtId="4" fontId="1" fillId="0" borderId="0" xfId="0" applyNumberFormat="1" applyFont="1" applyFill="1"/>
    <xf numFmtId="0" fontId="1" fillId="0" borderId="0" xfId="0" applyFont="1" applyFill="1" applyBorder="1"/>
    <xf numFmtId="14" fontId="1" fillId="0" borderId="0" xfId="0" applyNumberFormat="1" applyFont="1" applyFill="1" applyBorder="1"/>
    <xf numFmtId="0" fontId="1" fillId="0" borderId="1" xfId="3" applyFont="1" applyFill="1" applyBorder="1" applyAlignment="1">
      <alignment horizontal="left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164" fontId="1" fillId="0" borderId="1" xfId="2" applyFont="1" applyFill="1" applyBorder="1" applyAlignment="1">
      <alignment horizontal="right" vertical="center" wrapText="1"/>
    </xf>
    <xf numFmtId="2" fontId="1" fillId="0" borderId="1" xfId="2" applyNumberFormat="1" applyFont="1" applyFill="1" applyBorder="1" applyAlignment="1">
      <alignment horizontal="right" vertical="center" wrapText="1"/>
    </xf>
    <xf numFmtId="164" fontId="6" fillId="0" borderId="1" xfId="2" applyFont="1" applyFill="1" applyBorder="1" applyAlignment="1">
      <alignment horizontal="right" vertical="center" wrapText="1"/>
    </xf>
    <xf numFmtId="2" fontId="6" fillId="0" borderId="1" xfId="2" applyNumberFormat="1" applyFont="1" applyFill="1" applyBorder="1" applyAlignment="1">
      <alignment horizontal="right" vertical="center" wrapText="1"/>
    </xf>
    <xf numFmtId="4" fontId="6" fillId="0" borderId="0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4" fontId="16" fillId="0" borderId="1" xfId="0" applyNumberFormat="1" applyFont="1" applyFill="1" applyBorder="1" applyAlignment="1">
      <alignment horizontal="right" vertical="center" wrapText="1"/>
    </xf>
    <xf numFmtId="49" fontId="6" fillId="0" borderId="0" xfId="0" applyNumberFormat="1" applyFont="1" applyFill="1" applyBorder="1" applyAlignment="1">
      <alignment vertical="center" wrapText="1"/>
    </xf>
    <xf numFmtId="0" fontId="9" fillId="0" borderId="12" xfId="3" applyFont="1" applyFill="1" applyBorder="1" applyAlignment="1">
      <alignment vertical="top" wrapText="1"/>
    </xf>
    <xf numFmtId="4" fontId="9" fillId="0" borderId="12" xfId="3" applyNumberFormat="1" applyFont="1" applyFill="1" applyBorder="1" applyAlignment="1">
      <alignment horizontal="right" vertical="center" wrapText="1"/>
    </xf>
    <xf numFmtId="4" fontId="9" fillId="0" borderId="1" xfId="3" applyNumberFormat="1" applyFont="1" applyFill="1" applyBorder="1" applyAlignment="1">
      <alignment horizontal="right" vertical="center" wrapText="1"/>
    </xf>
    <xf numFmtId="4" fontId="16" fillId="0" borderId="1" xfId="0" applyNumberFormat="1" applyFont="1" applyFill="1" applyBorder="1" applyAlignment="1">
      <alignment wrapText="1"/>
    </xf>
    <xf numFmtId="0" fontId="20" fillId="0" borderId="0" xfId="0" applyFont="1" applyFill="1"/>
    <xf numFmtId="0" fontId="9" fillId="0" borderId="1" xfId="3" applyFont="1" applyFill="1" applyBorder="1" applyAlignment="1">
      <alignment vertical="center"/>
    </xf>
    <xf numFmtId="0" fontId="9" fillId="0" borderId="1" xfId="3" applyFont="1" applyFill="1" applyBorder="1"/>
    <xf numFmtId="0" fontId="9" fillId="0" borderId="1" xfId="3" applyFont="1" applyFill="1" applyBorder="1" applyAlignment="1">
      <alignment horizontal="left" vertical="top" wrapText="1"/>
    </xf>
    <xf numFmtId="0" fontId="1" fillId="0" borderId="1" xfId="3" applyFont="1" applyFill="1" applyBorder="1" applyAlignment="1">
      <alignment horizontal="center" vertical="top" wrapText="1"/>
    </xf>
    <xf numFmtId="0" fontId="9" fillId="0" borderId="1" xfId="3" applyFont="1" applyFill="1" applyBorder="1" applyAlignment="1">
      <alignment wrapText="1"/>
    </xf>
    <xf numFmtId="0" fontId="1" fillId="0" borderId="1" xfId="0" applyFont="1" applyFill="1" applyBorder="1" applyAlignment="1">
      <alignment horizontal="right"/>
    </xf>
    <xf numFmtId="166" fontId="6" fillId="0" borderId="1" xfId="0" applyNumberFormat="1" applyFont="1" applyFill="1" applyBorder="1" applyAlignment="1">
      <alignment vertical="center" wrapText="1"/>
    </xf>
    <xf numFmtId="164" fontId="17" fillId="0" borderId="1" xfId="2" applyFont="1" applyFill="1" applyBorder="1" applyAlignment="1">
      <alignment horizontal="right" vertical="center" wrapText="1"/>
    </xf>
    <xf numFmtId="2" fontId="1" fillId="0" borderId="0" xfId="0" applyNumberFormat="1" applyFont="1" applyFill="1"/>
    <xf numFmtId="1" fontId="1" fillId="0" borderId="1" xfId="0" applyNumberFormat="1" applyFont="1" applyFill="1" applyBorder="1" applyAlignment="1">
      <alignment horizontal="right" vertical="center" wrapText="1"/>
    </xf>
    <xf numFmtId="2" fontId="6" fillId="0" borderId="1" xfId="0" applyNumberFormat="1" applyFont="1" applyFill="1" applyBorder="1" applyAlignment="1">
      <alignment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vertical="center" wrapText="1"/>
    </xf>
    <xf numFmtId="4" fontId="1" fillId="0" borderId="1" xfId="0" applyNumberFormat="1" applyFont="1" applyFill="1" applyBorder="1"/>
    <xf numFmtId="2" fontId="9" fillId="0" borderId="1" xfId="4" applyNumberFormat="1" applyFont="1" applyFill="1" applyBorder="1" applyAlignment="1">
      <alignment vertical="center" wrapText="1"/>
    </xf>
    <xf numFmtId="3" fontId="6" fillId="0" borderId="1" xfId="0" applyNumberFormat="1" applyFont="1" applyFill="1" applyBorder="1" applyAlignment="1">
      <alignment horizontal="right" wrapText="1"/>
    </xf>
    <xf numFmtId="2" fontId="9" fillId="0" borderId="1" xfId="4" applyNumberFormat="1" applyFont="1" applyFill="1" applyBorder="1" applyAlignment="1">
      <alignment horizontal="left" vertical="center" wrapText="1"/>
    </xf>
    <xf numFmtId="2" fontId="1" fillId="0" borderId="0" xfId="3" applyNumberFormat="1" applyFont="1" applyFill="1" applyAlignment="1">
      <alignment horizontal="center" vertical="center"/>
    </xf>
    <xf numFmtId="1" fontId="1" fillId="0" borderId="1" xfId="3" applyNumberFormat="1" applyFont="1" applyFill="1" applyBorder="1" applyAlignment="1">
      <alignment horizontal="right" wrapText="1"/>
    </xf>
    <xf numFmtId="2" fontId="1" fillId="0" borderId="1" xfId="3" applyNumberFormat="1" applyFont="1" applyFill="1" applyBorder="1" applyAlignment="1">
      <alignment horizontal="center" vertical="center" wrapText="1"/>
    </xf>
    <xf numFmtId="4" fontId="6" fillId="0" borderId="0" xfId="0" applyNumberFormat="1" applyFont="1" applyFill="1" applyBorder="1" applyAlignment="1">
      <alignment horizontal="right" wrapText="1"/>
    </xf>
    <xf numFmtId="4" fontId="16" fillId="0" borderId="0" xfId="0" applyNumberFormat="1" applyFont="1" applyFill="1" applyBorder="1" applyAlignment="1">
      <alignment horizontal="right" wrapText="1"/>
    </xf>
    <xf numFmtId="1" fontId="1" fillId="0" borderId="1" xfId="3" applyNumberFormat="1" applyFont="1" applyFill="1" applyBorder="1" applyAlignment="1">
      <alignment horizontal="right" vertical="center" wrapText="1"/>
    </xf>
    <xf numFmtId="2" fontId="1" fillId="0" borderId="1" xfId="3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horizontal="center" vertical="center" wrapText="1"/>
    </xf>
    <xf numFmtId="3" fontId="1" fillId="0" borderId="1" xfId="3" applyNumberFormat="1" applyFont="1" applyFill="1" applyBorder="1" applyAlignment="1">
      <alignment vertical="center" wrapText="1"/>
    </xf>
    <xf numFmtId="2" fontId="1" fillId="0" borderId="1" xfId="3" applyNumberFormat="1" applyFont="1" applyFill="1" applyBorder="1" applyAlignment="1">
      <alignment horizontal="right"/>
    </xf>
    <xf numFmtId="0" fontId="1" fillId="0" borderId="1" xfId="3" applyFont="1" applyFill="1" applyBorder="1" applyAlignment="1">
      <alignment vertical="center" wrapText="1"/>
    </xf>
    <xf numFmtId="4" fontId="1" fillId="0" borderId="1" xfId="0" applyNumberFormat="1" applyFont="1" applyFill="1" applyBorder="1" applyAlignment="1">
      <alignment horizontal="right"/>
    </xf>
    <xf numFmtId="2" fontId="1" fillId="0" borderId="1" xfId="3" applyNumberFormat="1" applyFont="1" applyFill="1" applyBorder="1" applyAlignment="1">
      <alignment horizontal="center" vertical="center"/>
    </xf>
    <xf numFmtId="4" fontId="6" fillId="0" borderId="0" xfId="0" applyNumberFormat="1" applyFont="1" applyFill="1" applyBorder="1" applyAlignment="1">
      <alignment horizontal="right" vertical="center" wrapText="1"/>
    </xf>
    <xf numFmtId="0" fontId="1" fillId="0" borderId="0" xfId="0" applyFont="1" applyFill="1" applyBorder="1" applyAlignment="1">
      <alignment horizontal="right"/>
    </xf>
    <xf numFmtId="4" fontId="16" fillId="0" borderId="0" xfId="0" applyNumberFormat="1" applyFont="1" applyFill="1" applyBorder="1" applyAlignment="1">
      <alignment horizontal="right" vertical="center" wrapText="1"/>
    </xf>
    <xf numFmtId="4" fontId="1" fillId="0" borderId="0" xfId="0" applyNumberFormat="1" applyFont="1" applyFill="1" applyBorder="1"/>
    <xf numFmtId="4" fontId="1" fillId="0" borderId="1" xfId="3" applyNumberFormat="1" applyFont="1" applyFill="1" applyBorder="1" applyAlignment="1">
      <alignment horizontal="right"/>
    </xf>
    <xf numFmtId="0" fontId="5" fillId="0" borderId="0" xfId="0" applyFont="1" applyFill="1" applyBorder="1" applyAlignment="1">
      <alignment horizontal="left"/>
    </xf>
    <xf numFmtId="49" fontId="1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vertical="center" wrapText="1"/>
    </xf>
    <xf numFmtId="0" fontId="10" fillId="0" borderId="0" xfId="0" applyFont="1" applyFill="1" applyAlignment="1">
      <alignment vertical="center"/>
    </xf>
    <xf numFmtId="0" fontId="0" fillId="0" borderId="0" xfId="0" applyFill="1"/>
    <xf numFmtId="0" fontId="6" fillId="0" borderId="0" xfId="0" applyFont="1" applyFill="1" applyAlignment="1">
      <alignment vertical="center"/>
    </xf>
    <xf numFmtId="0" fontId="18" fillId="0" borderId="0" xfId="0" applyFont="1" applyFill="1" applyAlignment="1">
      <alignment vertical="center"/>
    </xf>
    <xf numFmtId="49" fontId="9" fillId="2" borderId="0" xfId="0" applyNumberFormat="1" applyFont="1" applyFill="1"/>
    <xf numFmtId="0" fontId="9" fillId="4" borderId="0" xfId="0" applyFont="1" applyFill="1" applyBorder="1"/>
    <xf numFmtId="0" fontId="9" fillId="2" borderId="0" xfId="0" applyFont="1" applyFill="1" applyBorder="1"/>
    <xf numFmtId="0" fontId="8" fillId="2" borderId="1" xfId="0" applyFont="1" applyFill="1" applyBorder="1" applyAlignment="1">
      <alignment horizontal="right"/>
    </xf>
    <xf numFmtId="0" fontId="8" fillId="2" borderId="1" xfId="0" applyFont="1" applyFill="1" applyBorder="1"/>
    <xf numFmtId="14" fontId="8" fillId="2" borderId="1" xfId="0" applyNumberFormat="1" applyFont="1" applyFill="1" applyBorder="1"/>
    <xf numFmtId="2" fontId="8" fillId="2" borderId="1" xfId="0" applyNumberFormat="1" applyFont="1" applyFill="1" applyBorder="1"/>
    <xf numFmtId="0" fontId="8" fillId="2" borderId="1" xfId="0" applyFont="1" applyFill="1" applyBorder="1" applyAlignment="1">
      <alignment horizontal="left"/>
    </xf>
    <xf numFmtId="164" fontId="16" fillId="5" borderId="1" xfId="2" applyFont="1" applyFill="1" applyBorder="1" applyAlignment="1">
      <alignment horizontal="right" vertical="center" wrapText="1"/>
    </xf>
    <xf numFmtId="4" fontId="9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4" fontId="9" fillId="2" borderId="5" xfId="0" applyNumberFormat="1" applyFont="1" applyFill="1" applyBorder="1" applyAlignment="1">
      <alignment horizontal="center" vertical="center" wrapText="1"/>
    </xf>
    <xf numFmtId="4" fontId="9" fillId="2" borderId="6" xfId="0" applyNumberFormat="1" applyFont="1" applyFill="1" applyBorder="1" applyAlignment="1">
      <alignment horizontal="center" vertical="center" wrapText="1"/>
    </xf>
    <xf numFmtId="0" fontId="9" fillId="2" borderId="1" xfId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left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4" fontId="2" fillId="0" borderId="5" xfId="0" applyNumberFormat="1" applyFont="1" applyFill="1" applyBorder="1" applyAlignment="1">
      <alignment vertical="center" wrapText="1"/>
    </xf>
    <xf numFmtId="4" fontId="2" fillId="0" borderId="6" xfId="0" applyNumberFormat="1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vertical="center" wrapText="1"/>
    </xf>
    <xf numFmtId="0" fontId="2" fillId="0" borderId="8" xfId="0" applyFont="1" applyFill="1" applyBorder="1" applyAlignment="1">
      <alignment horizontal="center" vertical="center" wrapText="1"/>
    </xf>
    <xf numFmtId="4" fontId="19" fillId="0" borderId="5" xfId="0" applyNumberFormat="1" applyFont="1" applyFill="1" applyBorder="1" applyAlignment="1">
      <alignment vertical="center" wrapText="1"/>
    </xf>
    <xf numFmtId="4" fontId="19" fillId="0" borderId="6" xfId="0" applyNumberFormat="1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left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vertical="center" wrapText="1"/>
    </xf>
    <xf numFmtId="0" fontId="1" fillId="2" borderId="0" xfId="0" applyFont="1" applyFill="1" applyAlignment="1">
      <alignment horizontal="left" wrapText="1"/>
    </xf>
    <xf numFmtId="0" fontId="1" fillId="2" borderId="2" xfId="0" applyFont="1" applyFill="1" applyBorder="1" applyAlignment="1">
      <alignment horizontal="left" wrapText="1"/>
    </xf>
    <xf numFmtId="0" fontId="6" fillId="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/>
    </xf>
    <xf numFmtId="4" fontId="6" fillId="0" borderId="5" xfId="0" applyNumberFormat="1" applyFont="1" applyFill="1" applyBorder="1" applyAlignment="1">
      <alignment horizontal="right" wrapText="1"/>
    </xf>
    <xf numFmtId="4" fontId="6" fillId="0" borderId="6" xfId="0" applyNumberFormat="1" applyFont="1" applyFill="1" applyBorder="1" applyAlignment="1">
      <alignment horizontal="right" wrapText="1"/>
    </xf>
    <xf numFmtId="0" fontId="1" fillId="0" borderId="0" xfId="0" applyFont="1" applyAlignment="1">
      <alignment horizontal="left"/>
    </xf>
    <xf numFmtId="0" fontId="1" fillId="0" borderId="0" xfId="0" applyFont="1" applyFill="1" applyAlignment="1">
      <alignment horizontal="left" wrapText="1"/>
    </xf>
    <xf numFmtId="0" fontId="6" fillId="0" borderId="2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vertical="distributed"/>
    </xf>
    <xf numFmtId="49" fontId="6" fillId="0" borderId="13" xfId="0" applyNumberFormat="1" applyFont="1" applyFill="1" applyBorder="1" applyAlignment="1">
      <alignment horizontal="left" wrapText="1"/>
    </xf>
    <xf numFmtId="0" fontId="6" fillId="0" borderId="2" xfId="0" applyFont="1" applyFill="1" applyBorder="1" applyAlignment="1">
      <alignment horizontal="left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wrapText="1"/>
    </xf>
    <xf numFmtId="0" fontId="6" fillId="0" borderId="6" xfId="0" applyFont="1" applyFill="1" applyBorder="1" applyAlignment="1">
      <alignment horizont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0" xfId="0" applyFont="1" applyFill="1" applyAlignment="1">
      <alignment vertical="distributed"/>
    </xf>
  </cellXfs>
  <cellStyles count="8">
    <cellStyle name="Гиперссылка" xfId="1" builtinId="8"/>
    <cellStyle name="Обычный" xfId="0" builtinId="0"/>
    <cellStyle name="Обычный 2" xfId="6"/>
    <cellStyle name="Обычный 3" xfId="4"/>
    <cellStyle name="Обычный 4" xfId="3"/>
    <cellStyle name="Обычный 5" xfId="7"/>
    <cellStyle name="Финансовый" xfId="2" builtinId="3"/>
    <cellStyle name="Финансовый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consultantplus://offline/ref=A700257297D7A859C030468B937B2DBD85E5EB9E60602AC230D6E9DC28482863625EFFB5D1534D768A4F99306AV1B3I" TargetMode="External"/><Relationship Id="rId3" Type="http://schemas.openxmlformats.org/officeDocument/2006/relationships/hyperlink" Target="consultantplus://offline/ref=A700257297D7A859C030468B937B2DBD85E4EF9A61612AC230D6E9DC28482863705EA7BBD15F557DD700DF65661BC70C92EDF194103DVEB9I" TargetMode="External"/><Relationship Id="rId7" Type="http://schemas.openxmlformats.org/officeDocument/2006/relationships/hyperlink" Target="consultantplus://offline/ref=A700257297D7A859C030468B937B2DBD85E5EB9C656B2AC230D6E9DC28482863625EFFB5D1534D768A4F99306AV1B3I" TargetMode="External"/><Relationship Id="rId12" Type="http://schemas.openxmlformats.org/officeDocument/2006/relationships/comments" Target="../comments2.xml"/><Relationship Id="rId2" Type="http://schemas.openxmlformats.org/officeDocument/2006/relationships/hyperlink" Target="consultantplus://offline/ref=A700257297D7A859C030468B937B2DBD85E5EB9C656B2AC230D6E9DC28482863625EFFB5D1534D768A4F99306AV1B3I" TargetMode="External"/><Relationship Id="rId1" Type="http://schemas.openxmlformats.org/officeDocument/2006/relationships/hyperlink" Target="consultantplus://offline/ref=A700257297D7A859C030468B937B2DBD85E5EB9C656B2AC230D6E9DC28482863625EFFB5D1534D768A4F99306AV1B3I" TargetMode="External"/><Relationship Id="rId6" Type="http://schemas.openxmlformats.org/officeDocument/2006/relationships/hyperlink" Target="consultantplus://offline/ref=A700257297D7A859C030468B937B2DBD85E5EB9E60602AC230D6E9DC28482863625EFFB5D1534D768A4F99306AV1B3I" TargetMode="External"/><Relationship Id="rId11" Type="http://schemas.openxmlformats.org/officeDocument/2006/relationships/vmlDrawing" Target="../drawings/vmlDrawing2.vml"/><Relationship Id="rId5" Type="http://schemas.openxmlformats.org/officeDocument/2006/relationships/hyperlink" Target="consultantplus://offline/ref=A700257297D7A859C030468B937B2DBD85E5EB9C656B2AC230D6E9DC28482863625EFFB5D1534D768A4F99306AV1B3I" TargetMode="External"/><Relationship Id="rId10" Type="http://schemas.openxmlformats.org/officeDocument/2006/relationships/printerSettings" Target="../printerSettings/printerSettings2.bin"/><Relationship Id="rId4" Type="http://schemas.openxmlformats.org/officeDocument/2006/relationships/hyperlink" Target="consultantplus://offline/ref=A700257297D7A859C030468B937B2DBD85E5EB9C656B2AC230D6E9DC28482863625EFFB5D1534D768A4F99306AV1B3I" TargetMode="External"/><Relationship Id="rId9" Type="http://schemas.openxmlformats.org/officeDocument/2006/relationships/hyperlink" Target="consultantplus://offline/ref=A700257297D7A859C030468B937B2DBD85E5EB9E60602AC230D6E9DC28482863625EFFB5D1534D768A4F99306AV1B3I" TargetMode="Externa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104"/>
  <sheetViews>
    <sheetView view="pageBreakPreview" topLeftCell="A70" zoomScaleNormal="100" zoomScaleSheetLayoutView="100" workbookViewId="0">
      <selection activeCell="H38" sqref="H38"/>
    </sheetView>
  </sheetViews>
  <sheetFormatPr defaultColWidth="9.140625" defaultRowHeight="12.75" x14ac:dyDescent="0.2"/>
  <cols>
    <col min="1" max="1" width="36.140625" style="14" customWidth="1"/>
    <col min="2" max="2" width="9.140625" style="14"/>
    <col min="3" max="3" width="10.28515625" style="14" customWidth="1"/>
    <col min="4" max="4" width="14.28515625" style="14" bestFit="1" customWidth="1"/>
    <col min="5" max="5" width="13.140625" style="14" bestFit="1" customWidth="1"/>
    <col min="6" max="6" width="14.28515625" style="14" bestFit="1" customWidth="1"/>
    <col min="7" max="11" width="13.42578125" style="14" customWidth="1"/>
    <col min="12" max="12" width="9.140625" style="14"/>
    <col min="13" max="13" width="15.28515625" style="14" hidden="1" customWidth="1"/>
    <col min="14" max="16384" width="9.140625" style="14"/>
  </cols>
  <sheetData>
    <row r="1" spans="1:11" x14ac:dyDescent="0.2">
      <c r="A1" s="217" t="s">
        <v>74</v>
      </c>
      <c r="B1" s="217"/>
      <c r="C1" s="217"/>
      <c r="D1" s="217"/>
    </row>
    <row r="2" spans="1:11" x14ac:dyDescent="0.2">
      <c r="A2" s="209" t="s">
        <v>0</v>
      </c>
      <c r="B2" s="209" t="s">
        <v>1</v>
      </c>
      <c r="C2" s="214" t="s">
        <v>2</v>
      </c>
      <c r="D2" s="209" t="s">
        <v>3</v>
      </c>
      <c r="E2" s="209"/>
      <c r="F2" s="209"/>
      <c r="G2" s="209"/>
      <c r="H2" s="209"/>
      <c r="I2" s="209"/>
      <c r="J2" s="209"/>
      <c r="K2" s="209"/>
    </row>
    <row r="3" spans="1:11" x14ac:dyDescent="0.2">
      <c r="A3" s="209"/>
      <c r="B3" s="209"/>
      <c r="C3" s="214"/>
      <c r="D3" s="209" t="s">
        <v>353</v>
      </c>
      <c r="E3" s="209"/>
      <c r="F3" s="209" t="s">
        <v>455</v>
      </c>
      <c r="G3" s="209"/>
      <c r="H3" s="209" t="s">
        <v>508</v>
      </c>
      <c r="I3" s="209"/>
      <c r="J3" s="209" t="s">
        <v>5</v>
      </c>
      <c r="K3" s="209"/>
    </row>
    <row r="4" spans="1:11" x14ac:dyDescent="0.2">
      <c r="A4" s="209"/>
      <c r="B4" s="209"/>
      <c r="C4" s="214"/>
      <c r="D4" s="209" t="s">
        <v>6</v>
      </c>
      <c r="E4" s="209"/>
      <c r="F4" s="209" t="s">
        <v>7</v>
      </c>
      <c r="G4" s="209"/>
      <c r="H4" s="209" t="s">
        <v>8</v>
      </c>
      <c r="I4" s="209"/>
      <c r="J4" s="209"/>
      <c r="K4" s="209"/>
    </row>
    <row r="5" spans="1:11" ht="63.75" x14ac:dyDescent="0.2">
      <c r="A5" s="209"/>
      <c r="B5" s="209"/>
      <c r="C5" s="214"/>
      <c r="D5" s="15" t="s">
        <v>9</v>
      </c>
      <c r="E5" s="15" t="s">
        <v>10</v>
      </c>
      <c r="F5" s="15" t="s">
        <v>9</v>
      </c>
      <c r="G5" s="15" t="s">
        <v>10</v>
      </c>
      <c r="H5" s="15" t="s">
        <v>9</v>
      </c>
      <c r="I5" s="15" t="s">
        <v>10</v>
      </c>
      <c r="J5" s="15" t="s">
        <v>9</v>
      </c>
      <c r="K5" s="15" t="s">
        <v>10</v>
      </c>
    </row>
    <row r="6" spans="1:11" x14ac:dyDescent="0.2">
      <c r="A6" s="15">
        <v>1</v>
      </c>
      <c r="B6" s="60">
        <v>2</v>
      </c>
      <c r="C6" s="60">
        <v>3</v>
      </c>
      <c r="D6" s="60">
        <v>4</v>
      </c>
      <c r="E6" s="60">
        <v>5</v>
      </c>
      <c r="F6" s="60">
        <v>6</v>
      </c>
      <c r="G6" s="60">
        <v>7</v>
      </c>
      <c r="H6" s="60">
        <v>8</v>
      </c>
      <c r="I6" s="60">
        <v>9</v>
      </c>
      <c r="J6" s="60">
        <v>10</v>
      </c>
      <c r="K6" s="60">
        <v>11</v>
      </c>
    </row>
    <row r="7" spans="1:11" ht="25.5" x14ac:dyDescent="0.2">
      <c r="A7" s="47" t="s">
        <v>11</v>
      </c>
      <c r="B7" s="46">
        <v>1</v>
      </c>
      <c r="C7" s="46" t="s">
        <v>12</v>
      </c>
      <c r="D7" s="62">
        <v>0</v>
      </c>
      <c r="E7" s="101">
        <v>599798.06000000006</v>
      </c>
      <c r="F7" s="62">
        <v>0</v>
      </c>
      <c r="G7" s="62">
        <v>0</v>
      </c>
      <c r="H7" s="62">
        <v>0</v>
      </c>
      <c r="I7" s="62">
        <v>0</v>
      </c>
      <c r="J7" s="62"/>
      <c r="K7" s="62"/>
    </row>
    <row r="8" spans="1:11" ht="25.5" x14ac:dyDescent="0.2">
      <c r="A8" s="16" t="s">
        <v>13</v>
      </c>
      <c r="B8" s="60">
        <v>2</v>
      </c>
      <c r="C8" s="60" t="s">
        <v>12</v>
      </c>
      <c r="D8" s="63">
        <v>0</v>
      </c>
      <c r="E8" s="63"/>
      <c r="F8" s="63"/>
      <c r="G8" s="63"/>
      <c r="H8" s="63"/>
      <c r="I8" s="63"/>
      <c r="J8" s="63"/>
      <c r="K8" s="63"/>
    </row>
    <row r="9" spans="1:11" x14ac:dyDescent="0.2">
      <c r="A9" s="16" t="s">
        <v>299</v>
      </c>
      <c r="B9" s="60">
        <v>3</v>
      </c>
      <c r="C9" s="60" t="s">
        <v>12</v>
      </c>
      <c r="D9" s="63"/>
      <c r="E9" s="63"/>
      <c r="F9" s="63"/>
      <c r="G9" s="63">
        <v>0</v>
      </c>
      <c r="H9" s="63"/>
      <c r="I9" s="63">
        <v>0</v>
      </c>
      <c r="J9" s="63"/>
      <c r="K9" s="63"/>
    </row>
    <row r="10" spans="1:11" x14ac:dyDescent="0.2">
      <c r="A10" s="45" t="s">
        <v>14</v>
      </c>
      <c r="B10" s="46">
        <v>1000</v>
      </c>
      <c r="C10" s="46"/>
      <c r="D10" s="62">
        <f>D17+D29+D27</f>
        <v>35904554.999999993</v>
      </c>
      <c r="E10" s="62">
        <f>E17+E25</f>
        <v>4909718</v>
      </c>
      <c r="F10" s="62">
        <f>F17+F29+F27</f>
        <v>35904554.999999993</v>
      </c>
      <c r="G10" s="62">
        <f>G17+G25</f>
        <v>4909718</v>
      </c>
      <c r="H10" s="62">
        <f>H17+H29+H27</f>
        <v>35722219.999999993</v>
      </c>
      <c r="I10" s="62">
        <f>I17+I25</f>
        <v>4909718</v>
      </c>
      <c r="J10" s="62"/>
      <c r="K10" s="62"/>
    </row>
    <row r="11" spans="1:11" x14ac:dyDescent="0.2">
      <c r="A11" s="17" t="s">
        <v>15</v>
      </c>
      <c r="B11" s="209">
        <v>1100</v>
      </c>
      <c r="C11" s="209">
        <v>120</v>
      </c>
      <c r="D11" s="208" t="s">
        <v>12</v>
      </c>
      <c r="E11" s="208">
        <f>'3.1.1.'!C12</f>
        <v>0</v>
      </c>
      <c r="F11" s="208" t="str">
        <f>D11</f>
        <v>х</v>
      </c>
      <c r="G11" s="208">
        <f>E11</f>
        <v>0</v>
      </c>
      <c r="H11" s="208" t="str">
        <f>D11</f>
        <v>х</v>
      </c>
      <c r="I11" s="208">
        <f>E11</f>
        <v>0</v>
      </c>
      <c r="J11" s="208" t="s">
        <v>12</v>
      </c>
      <c r="K11" s="208"/>
    </row>
    <row r="12" spans="1:11" x14ac:dyDescent="0.2">
      <c r="A12" s="17" t="s">
        <v>16</v>
      </c>
      <c r="B12" s="209"/>
      <c r="C12" s="209"/>
      <c r="D12" s="208"/>
      <c r="E12" s="208"/>
      <c r="F12" s="208"/>
      <c r="G12" s="208"/>
      <c r="H12" s="208"/>
      <c r="I12" s="208"/>
      <c r="J12" s="208"/>
      <c r="K12" s="208"/>
    </row>
    <row r="13" spans="1:11" x14ac:dyDescent="0.2">
      <c r="A13" s="17" t="s">
        <v>15</v>
      </c>
      <c r="B13" s="64"/>
      <c r="C13" s="64"/>
      <c r="D13" s="63" t="s">
        <v>12</v>
      </c>
      <c r="E13" s="63"/>
      <c r="F13" s="63" t="str">
        <f>D13</f>
        <v>х</v>
      </c>
      <c r="G13" s="63">
        <f t="shared" ref="G13:G18" si="0">E13</f>
        <v>0</v>
      </c>
      <c r="H13" s="63" t="str">
        <f>D13</f>
        <v>х</v>
      </c>
      <c r="I13" s="63">
        <f t="shared" ref="I13:I18" si="1">E13</f>
        <v>0</v>
      </c>
      <c r="J13" s="63" t="s">
        <v>12</v>
      </c>
      <c r="K13" s="63"/>
    </row>
    <row r="14" spans="1:11" ht="38.25" x14ac:dyDescent="0.2">
      <c r="A14" s="17" t="s">
        <v>17</v>
      </c>
      <c r="B14" s="60">
        <v>1110</v>
      </c>
      <c r="C14" s="60">
        <v>120</v>
      </c>
      <c r="D14" s="63" t="s">
        <v>12</v>
      </c>
      <c r="E14" s="63">
        <f>'3.1.1.'!C13:C14</f>
        <v>0</v>
      </c>
      <c r="F14" s="63" t="str">
        <f>D14</f>
        <v>х</v>
      </c>
      <c r="G14" s="63">
        <f t="shared" si="0"/>
        <v>0</v>
      </c>
      <c r="H14" s="63" t="str">
        <f>D14</f>
        <v>х</v>
      </c>
      <c r="I14" s="63">
        <f t="shared" si="1"/>
        <v>0</v>
      </c>
      <c r="J14" s="63"/>
      <c r="K14" s="63"/>
    </row>
    <row r="15" spans="1:11" ht="38.25" x14ac:dyDescent="0.2">
      <c r="A15" s="17" t="s">
        <v>18</v>
      </c>
      <c r="B15" s="60">
        <v>1120</v>
      </c>
      <c r="C15" s="60">
        <v>120</v>
      </c>
      <c r="D15" s="63" t="s">
        <v>12</v>
      </c>
      <c r="E15" s="63">
        <f>'3.1.1.'!C15</f>
        <v>0</v>
      </c>
      <c r="F15" s="63" t="str">
        <f>D15</f>
        <v>х</v>
      </c>
      <c r="G15" s="63">
        <f t="shared" si="0"/>
        <v>0</v>
      </c>
      <c r="H15" s="63" t="str">
        <f>D15</f>
        <v>х</v>
      </c>
      <c r="I15" s="63">
        <f t="shared" si="1"/>
        <v>0</v>
      </c>
      <c r="J15" s="63" t="s">
        <v>12</v>
      </c>
      <c r="K15" s="63"/>
    </row>
    <row r="16" spans="1:11" ht="38.25" x14ac:dyDescent="0.2">
      <c r="A16" s="17" t="s">
        <v>19</v>
      </c>
      <c r="B16" s="60">
        <v>1130</v>
      </c>
      <c r="C16" s="60">
        <v>120</v>
      </c>
      <c r="D16" s="63" t="s">
        <v>12</v>
      </c>
      <c r="E16" s="65">
        <f>'3.1.1.'!C17</f>
        <v>0</v>
      </c>
      <c r="F16" s="65" t="str">
        <f>D16</f>
        <v>х</v>
      </c>
      <c r="G16" s="65">
        <f t="shared" si="0"/>
        <v>0</v>
      </c>
      <c r="H16" s="65" t="str">
        <f>D16</f>
        <v>х</v>
      </c>
      <c r="I16" s="65">
        <f t="shared" si="1"/>
        <v>0</v>
      </c>
      <c r="J16" s="63" t="s">
        <v>12</v>
      </c>
      <c r="K16" s="63"/>
    </row>
    <row r="17" spans="1:11" ht="25.5" x14ac:dyDescent="0.2">
      <c r="A17" s="17" t="s">
        <v>20</v>
      </c>
      <c r="B17" s="60">
        <v>1200</v>
      </c>
      <c r="C17" s="60">
        <v>130</v>
      </c>
      <c r="D17" s="63">
        <f>D18</f>
        <v>35747354.999999993</v>
      </c>
      <c r="E17" s="65">
        <f>E20+E21</f>
        <v>4909718</v>
      </c>
      <c r="F17" s="65">
        <f>F18</f>
        <v>35747354.999999993</v>
      </c>
      <c r="G17" s="65">
        <f>G20+G21</f>
        <v>4909718</v>
      </c>
      <c r="H17" s="65">
        <f>H18</f>
        <v>35565019.999999993</v>
      </c>
      <c r="I17" s="65">
        <f>I20+I21</f>
        <v>4909718</v>
      </c>
      <c r="J17" s="63"/>
      <c r="K17" s="63"/>
    </row>
    <row r="18" spans="1:11" x14ac:dyDescent="0.2">
      <c r="A18" s="17" t="s">
        <v>15</v>
      </c>
      <c r="B18" s="209">
        <v>1210</v>
      </c>
      <c r="C18" s="209">
        <v>130</v>
      </c>
      <c r="D18" s="208">
        <f>'3.2.2'!I12</f>
        <v>35747354.999999993</v>
      </c>
      <c r="E18" s="215" t="s">
        <v>12</v>
      </c>
      <c r="F18" s="216">
        <f>'3.2.2'!J12</f>
        <v>35747354.999999993</v>
      </c>
      <c r="G18" s="216" t="str">
        <f t="shared" si="0"/>
        <v>х</v>
      </c>
      <c r="H18" s="216">
        <f>'3.2.2'!K12</f>
        <v>35565019.999999993</v>
      </c>
      <c r="I18" s="216" t="str">
        <f t="shared" si="1"/>
        <v>х</v>
      </c>
      <c r="J18" s="208"/>
      <c r="K18" s="209" t="s">
        <v>12</v>
      </c>
    </row>
    <row r="19" spans="1:11" ht="25.5" x14ac:dyDescent="0.2">
      <c r="A19" s="17" t="s">
        <v>21</v>
      </c>
      <c r="B19" s="209"/>
      <c r="C19" s="209"/>
      <c r="D19" s="208"/>
      <c r="E19" s="215"/>
      <c r="F19" s="216"/>
      <c r="G19" s="215"/>
      <c r="H19" s="216"/>
      <c r="I19" s="215"/>
      <c r="J19" s="208"/>
      <c r="K19" s="209"/>
    </row>
    <row r="20" spans="1:11" ht="38.25" x14ac:dyDescent="0.2">
      <c r="A20" s="17" t="s">
        <v>280</v>
      </c>
      <c r="B20" s="60">
        <v>1220</v>
      </c>
      <c r="C20" s="60">
        <v>130</v>
      </c>
      <c r="D20" s="60" t="s">
        <v>12</v>
      </c>
      <c r="E20" s="65">
        <f>'3.2.1(доходы)'!C13</f>
        <v>3124968</v>
      </c>
      <c r="F20" s="65" t="str">
        <f>D20</f>
        <v>х</v>
      </c>
      <c r="G20" s="65">
        <f>'3.2.1(доходы)'!D13</f>
        <v>3124968</v>
      </c>
      <c r="H20" s="65" t="str">
        <f>D20</f>
        <v>х</v>
      </c>
      <c r="I20" s="65">
        <f>'3.2.1(доходы)'!E13</f>
        <v>3124968</v>
      </c>
      <c r="J20" s="60" t="s">
        <v>12</v>
      </c>
      <c r="K20" s="63"/>
    </row>
    <row r="21" spans="1:11" ht="63.75" x14ac:dyDescent="0.2">
      <c r="A21" s="17" t="s">
        <v>22</v>
      </c>
      <c r="B21" s="60">
        <v>1230</v>
      </c>
      <c r="C21" s="60">
        <v>130</v>
      </c>
      <c r="D21" s="60" t="s">
        <v>12</v>
      </c>
      <c r="E21" s="65">
        <f>'3.2.1(доходы)'!C14</f>
        <v>1784750</v>
      </c>
      <c r="F21" s="65" t="str">
        <f>D21</f>
        <v>х</v>
      </c>
      <c r="G21" s="65">
        <f>'3.2.1(доходы)'!D14</f>
        <v>1784750</v>
      </c>
      <c r="H21" s="65" t="str">
        <f>D21</f>
        <v>х</v>
      </c>
      <c r="I21" s="65">
        <f>'3.2.1(доходы)'!E14</f>
        <v>1784750</v>
      </c>
      <c r="J21" s="60" t="s">
        <v>12</v>
      </c>
      <c r="K21" s="63"/>
    </row>
    <row r="22" spans="1:11" ht="51" x14ac:dyDescent="0.2">
      <c r="A22" s="17" t="s">
        <v>23</v>
      </c>
      <c r="B22" s="60">
        <v>1240</v>
      </c>
      <c r="C22" s="60">
        <v>130</v>
      </c>
      <c r="D22" s="60" t="s">
        <v>12</v>
      </c>
      <c r="E22" s="60"/>
      <c r="F22" s="63" t="str">
        <f>D22</f>
        <v>х</v>
      </c>
      <c r="G22" s="63"/>
      <c r="H22" s="63" t="str">
        <f>D22</f>
        <v>х</v>
      </c>
      <c r="I22" s="63"/>
      <c r="J22" s="60" t="s">
        <v>12</v>
      </c>
      <c r="K22" s="60"/>
    </row>
    <row r="23" spans="1:11" ht="25.5" x14ac:dyDescent="0.2">
      <c r="A23" s="17" t="s">
        <v>24</v>
      </c>
      <c r="B23" s="60">
        <v>1300</v>
      </c>
      <c r="C23" s="60">
        <v>140</v>
      </c>
      <c r="D23" s="60" t="s">
        <v>12</v>
      </c>
      <c r="E23" s="60"/>
      <c r="F23" s="63" t="str">
        <f>D23</f>
        <v>х</v>
      </c>
      <c r="G23" s="63"/>
      <c r="H23" s="63" t="str">
        <f>D23</f>
        <v>х</v>
      </c>
      <c r="I23" s="63"/>
      <c r="J23" s="60" t="s">
        <v>12</v>
      </c>
      <c r="K23" s="60"/>
    </row>
    <row r="24" spans="1:11" x14ac:dyDescent="0.2">
      <c r="A24" s="17" t="s">
        <v>15</v>
      </c>
      <c r="B24" s="60">
        <v>1310</v>
      </c>
      <c r="C24" s="60">
        <v>140</v>
      </c>
      <c r="D24" s="60"/>
      <c r="E24" s="60"/>
      <c r="F24" s="63"/>
      <c r="G24" s="63"/>
      <c r="H24" s="63"/>
      <c r="I24" s="63"/>
      <c r="J24" s="60"/>
      <c r="K24" s="60"/>
    </row>
    <row r="25" spans="1:11" ht="25.5" x14ac:dyDescent="0.2">
      <c r="A25" s="17" t="s">
        <v>25</v>
      </c>
      <c r="B25" s="209">
        <v>1400</v>
      </c>
      <c r="C25" s="209">
        <v>150</v>
      </c>
      <c r="D25" s="212" t="s">
        <v>12</v>
      </c>
      <c r="E25" s="212"/>
      <c r="F25" s="212" t="s">
        <v>12</v>
      </c>
      <c r="G25" s="212"/>
      <c r="H25" s="212" t="s">
        <v>12</v>
      </c>
      <c r="I25" s="212"/>
      <c r="J25" s="210"/>
      <c r="K25" s="210"/>
    </row>
    <row r="26" spans="1:11" x14ac:dyDescent="0.2">
      <c r="A26" s="17" t="s">
        <v>15</v>
      </c>
      <c r="B26" s="209"/>
      <c r="C26" s="209"/>
      <c r="D26" s="211"/>
      <c r="E26" s="213"/>
      <c r="F26" s="213"/>
      <c r="G26" s="213"/>
      <c r="H26" s="213"/>
      <c r="I26" s="213"/>
      <c r="J26" s="211"/>
      <c r="K26" s="211"/>
    </row>
    <row r="27" spans="1:11" ht="38.25" customHeight="1" x14ac:dyDescent="0.2">
      <c r="A27" s="57" t="s">
        <v>27</v>
      </c>
      <c r="B27" s="61">
        <v>1410</v>
      </c>
      <c r="C27" s="61">
        <v>150</v>
      </c>
      <c r="D27" s="98">
        <f>'3.4.1'!C12</f>
        <v>157200</v>
      </c>
      <c r="E27" s="63" t="s">
        <v>12</v>
      </c>
      <c r="F27" s="66">
        <f>'3.4.1'!D12</f>
        <v>157200</v>
      </c>
      <c r="G27" s="63" t="str">
        <f>E27</f>
        <v>х</v>
      </c>
      <c r="H27" s="63">
        <f>'3.4.1'!E12</f>
        <v>157200</v>
      </c>
      <c r="I27" s="63" t="str">
        <f>E27</f>
        <v>х</v>
      </c>
      <c r="J27" s="63"/>
      <c r="K27" s="63"/>
    </row>
    <row r="28" spans="1:11" ht="25.5" x14ac:dyDescent="0.2">
      <c r="A28" s="57" t="s">
        <v>28</v>
      </c>
      <c r="B28" s="60">
        <v>1420</v>
      </c>
      <c r="C28" s="60">
        <v>150</v>
      </c>
      <c r="D28" s="63"/>
      <c r="E28" s="60" t="s">
        <v>12</v>
      </c>
      <c r="F28" s="63"/>
      <c r="G28" s="63" t="str">
        <f>E28</f>
        <v>х</v>
      </c>
      <c r="H28" s="63"/>
      <c r="I28" s="63" t="str">
        <f>E28</f>
        <v>х</v>
      </c>
      <c r="J28" s="63"/>
      <c r="K28" s="60" t="s">
        <v>12</v>
      </c>
    </row>
    <row r="29" spans="1:11" x14ac:dyDescent="0.2">
      <c r="A29" s="18" t="s">
        <v>26</v>
      </c>
      <c r="B29" s="210">
        <v>1500</v>
      </c>
      <c r="C29" s="210">
        <v>180</v>
      </c>
      <c r="D29" s="212">
        <f>D31+D32</f>
        <v>0</v>
      </c>
      <c r="E29" s="210" t="s">
        <v>12</v>
      </c>
      <c r="F29" s="212">
        <f>F31+F32</f>
        <v>0</v>
      </c>
      <c r="G29" s="212" t="str">
        <f>E29</f>
        <v>х</v>
      </c>
      <c r="H29" s="212">
        <f>H31+H32</f>
        <v>0</v>
      </c>
      <c r="I29" s="212" t="str">
        <f>E29</f>
        <v>х</v>
      </c>
      <c r="J29" s="212"/>
      <c r="K29" s="210" t="s">
        <v>12</v>
      </c>
    </row>
    <row r="30" spans="1:11" x14ac:dyDescent="0.2">
      <c r="A30" s="18" t="s">
        <v>15</v>
      </c>
      <c r="B30" s="211"/>
      <c r="C30" s="211"/>
      <c r="D30" s="213"/>
      <c r="E30" s="211"/>
      <c r="F30" s="213"/>
      <c r="G30" s="211"/>
      <c r="H30" s="213"/>
      <c r="I30" s="211"/>
      <c r="J30" s="213"/>
      <c r="K30" s="211"/>
    </row>
    <row r="31" spans="1:11" x14ac:dyDescent="0.2">
      <c r="A31" s="17" t="s">
        <v>27</v>
      </c>
      <c r="B31" s="61">
        <v>1510</v>
      </c>
      <c r="C31" s="61">
        <v>180</v>
      </c>
      <c r="D31" s="63"/>
      <c r="E31" s="63" t="s">
        <v>12</v>
      </c>
      <c r="F31" s="63"/>
      <c r="G31" s="63" t="str">
        <f>E31</f>
        <v>х</v>
      </c>
      <c r="H31" s="63"/>
      <c r="I31" s="63" t="str">
        <f>E31</f>
        <v>х</v>
      </c>
      <c r="J31" s="63"/>
      <c r="K31" s="63"/>
    </row>
    <row r="32" spans="1:11" ht="25.5" x14ac:dyDescent="0.2">
      <c r="A32" s="17" t="s">
        <v>28</v>
      </c>
      <c r="B32" s="60">
        <v>1520</v>
      </c>
      <c r="C32" s="60">
        <v>180</v>
      </c>
      <c r="D32" s="63">
        <f>'3.4.1'!C17</f>
        <v>0</v>
      </c>
      <c r="E32" s="60" t="s">
        <v>12</v>
      </c>
      <c r="F32" s="63">
        <f>D32</f>
        <v>0</v>
      </c>
      <c r="G32" s="63" t="str">
        <f>E32</f>
        <v>х</v>
      </c>
      <c r="H32" s="63">
        <f>D32</f>
        <v>0</v>
      </c>
      <c r="I32" s="63" t="str">
        <f>E32</f>
        <v>х</v>
      </c>
      <c r="J32" s="63"/>
      <c r="K32" s="60" t="s">
        <v>12</v>
      </c>
    </row>
    <row r="33" spans="1:13" x14ac:dyDescent="0.2">
      <c r="A33" s="17" t="s">
        <v>29</v>
      </c>
      <c r="B33" s="60">
        <v>1900</v>
      </c>
      <c r="C33" s="60"/>
      <c r="D33" s="63"/>
      <c r="E33" s="63"/>
      <c r="F33" s="63"/>
      <c r="G33" s="63"/>
      <c r="H33" s="63"/>
      <c r="I33" s="63"/>
      <c r="J33" s="60"/>
      <c r="K33" s="63"/>
    </row>
    <row r="34" spans="1:13" x14ac:dyDescent="0.2">
      <c r="A34" s="17" t="s">
        <v>15</v>
      </c>
      <c r="B34" s="60"/>
      <c r="C34" s="60"/>
      <c r="D34" s="63"/>
      <c r="E34" s="63"/>
      <c r="F34" s="63"/>
      <c r="G34" s="63"/>
      <c r="H34" s="63"/>
      <c r="I34" s="63"/>
      <c r="J34" s="60"/>
      <c r="K34" s="63"/>
    </row>
    <row r="35" spans="1:13" x14ac:dyDescent="0.2">
      <c r="A35" s="16" t="s">
        <v>30</v>
      </c>
      <c r="B35" s="60">
        <v>1980</v>
      </c>
      <c r="C35" s="60" t="s">
        <v>12</v>
      </c>
      <c r="D35" s="63"/>
      <c r="E35" s="63"/>
      <c r="F35" s="63"/>
      <c r="G35" s="63"/>
      <c r="H35" s="63"/>
      <c r="I35" s="63"/>
      <c r="J35" s="60"/>
      <c r="K35" s="63"/>
    </row>
    <row r="36" spans="1:13" x14ac:dyDescent="0.2">
      <c r="A36" s="17" t="s">
        <v>31</v>
      </c>
      <c r="B36" s="209">
        <v>1981</v>
      </c>
      <c r="C36" s="209">
        <v>510</v>
      </c>
      <c r="D36" s="208"/>
      <c r="E36" s="208"/>
      <c r="F36" s="208"/>
      <c r="G36" s="208"/>
      <c r="H36" s="208"/>
      <c r="I36" s="208"/>
      <c r="J36" s="209" t="s">
        <v>12</v>
      </c>
      <c r="K36" s="208"/>
    </row>
    <row r="37" spans="1:13" ht="38.25" x14ac:dyDescent="0.2">
      <c r="A37" s="17" t="s">
        <v>32</v>
      </c>
      <c r="B37" s="209"/>
      <c r="C37" s="209"/>
      <c r="D37" s="208"/>
      <c r="E37" s="208"/>
      <c r="F37" s="208"/>
      <c r="G37" s="208"/>
      <c r="H37" s="208"/>
      <c r="I37" s="208"/>
      <c r="J37" s="209"/>
      <c r="K37" s="208"/>
    </row>
    <row r="38" spans="1:13" x14ac:dyDescent="0.2">
      <c r="A38" s="45" t="s">
        <v>33</v>
      </c>
      <c r="B38" s="46">
        <v>2000</v>
      </c>
      <c r="C38" s="46" t="s">
        <v>12</v>
      </c>
      <c r="D38" s="62">
        <f>D39+D56+D64+D69+D77+D79</f>
        <v>35904555</v>
      </c>
      <c r="E38" s="62">
        <f t="shared" ref="E38:I38" si="2">E39+E56+E64+E69+E77+E79</f>
        <v>5509516.0599999996</v>
      </c>
      <c r="F38" s="62">
        <f t="shared" si="2"/>
        <v>35904555</v>
      </c>
      <c r="G38" s="62">
        <f t="shared" si="2"/>
        <v>4909718</v>
      </c>
      <c r="H38" s="62">
        <f t="shared" si="2"/>
        <v>35722220</v>
      </c>
      <c r="I38" s="62">
        <f t="shared" si="2"/>
        <v>4909718</v>
      </c>
      <c r="J38" s="46"/>
      <c r="K38" s="62"/>
      <c r="L38" s="19">
        <f>G38+E7-E38</f>
        <v>0</v>
      </c>
    </row>
    <row r="39" spans="1:13" x14ac:dyDescent="0.2">
      <c r="A39" s="17" t="s">
        <v>15</v>
      </c>
      <c r="B39" s="209">
        <v>2100</v>
      </c>
      <c r="C39" s="209" t="s">
        <v>12</v>
      </c>
      <c r="D39" s="208">
        <f t="shared" ref="D39:I39" si="3">D41+D43+D44+D45</f>
        <v>28902124</v>
      </c>
      <c r="E39" s="208">
        <f t="shared" si="3"/>
        <v>1058709</v>
      </c>
      <c r="F39" s="208">
        <f t="shared" si="3"/>
        <v>28902124</v>
      </c>
      <c r="G39" s="208">
        <f t="shared" si="3"/>
        <v>1058709</v>
      </c>
      <c r="H39" s="208">
        <f t="shared" si="3"/>
        <v>28719789</v>
      </c>
      <c r="I39" s="208">
        <f t="shared" si="3"/>
        <v>1058709</v>
      </c>
      <c r="J39" s="209" t="s">
        <v>12</v>
      </c>
      <c r="K39" s="208"/>
    </row>
    <row r="40" spans="1:13" x14ac:dyDescent="0.2">
      <c r="A40" s="17" t="s">
        <v>34</v>
      </c>
      <c r="B40" s="209"/>
      <c r="C40" s="209"/>
      <c r="D40" s="208"/>
      <c r="E40" s="208"/>
      <c r="F40" s="208"/>
      <c r="G40" s="208"/>
      <c r="H40" s="208"/>
      <c r="I40" s="208"/>
      <c r="J40" s="209"/>
      <c r="K40" s="208"/>
      <c r="M40" s="19">
        <f t="shared" ref="M40:M51" si="4">D40-H40</f>
        <v>0</v>
      </c>
    </row>
    <row r="41" spans="1:13" x14ac:dyDescent="0.2">
      <c r="A41" s="17" t="s">
        <v>15</v>
      </c>
      <c r="B41" s="209">
        <v>2110</v>
      </c>
      <c r="C41" s="209">
        <v>111</v>
      </c>
      <c r="D41" s="208">
        <f>'3.6.1(211общ)'!C12</f>
        <v>22193243.800000001</v>
      </c>
      <c r="E41" s="208">
        <f>'3.6.1(211общ)'!C13</f>
        <v>813099.6</v>
      </c>
      <c r="F41" s="208">
        <f>'3.6.1(211общ)'!D12</f>
        <v>22193243.800000001</v>
      </c>
      <c r="G41" s="208">
        <f>'3.6.1(211общ)'!D13</f>
        <v>813099.6</v>
      </c>
      <c r="H41" s="208">
        <f>'3.6.1(211общ)'!E12</f>
        <v>22053201.800000001</v>
      </c>
      <c r="I41" s="208">
        <f>'3.6.1(211общ)'!E13</f>
        <v>813099.6</v>
      </c>
      <c r="J41" s="209" t="s">
        <v>12</v>
      </c>
      <c r="K41" s="208"/>
      <c r="M41" s="19">
        <f t="shared" si="4"/>
        <v>140042</v>
      </c>
    </row>
    <row r="42" spans="1:13" x14ac:dyDescent="0.2">
      <c r="A42" s="17" t="s">
        <v>35</v>
      </c>
      <c r="B42" s="209"/>
      <c r="C42" s="209"/>
      <c r="D42" s="208"/>
      <c r="E42" s="208"/>
      <c r="F42" s="208"/>
      <c r="G42" s="208"/>
      <c r="H42" s="208"/>
      <c r="I42" s="208"/>
      <c r="J42" s="209"/>
      <c r="K42" s="208"/>
      <c r="M42" s="19">
        <f t="shared" si="4"/>
        <v>0</v>
      </c>
    </row>
    <row r="43" spans="1:13" ht="25.5" x14ac:dyDescent="0.2">
      <c r="A43" s="17" t="s">
        <v>36</v>
      </c>
      <c r="B43" s="60">
        <v>2120</v>
      </c>
      <c r="C43" s="60">
        <v>112</v>
      </c>
      <c r="D43" s="63">
        <f>'3.8.2(проезд)'!L8+'3.8.1'!L10+'3.8.1'!L18</f>
        <v>6500</v>
      </c>
      <c r="E43" s="63"/>
      <c r="F43" s="63">
        <f>'3.8.1'!M10+'3.8.1'!M18+'3.8.2(проезд)'!M8</f>
        <v>6500</v>
      </c>
      <c r="G43" s="63">
        <f>E43</f>
        <v>0</v>
      </c>
      <c r="H43" s="63">
        <f>'3.8.1'!N10+'3.8.1'!N18+'3.8.2(проезд)'!N8</f>
        <v>6500</v>
      </c>
      <c r="I43" s="63">
        <f>E43</f>
        <v>0</v>
      </c>
      <c r="J43" s="60" t="s">
        <v>12</v>
      </c>
      <c r="K43" s="63"/>
      <c r="M43" s="19">
        <f t="shared" si="4"/>
        <v>0</v>
      </c>
    </row>
    <row r="44" spans="1:13" ht="38.25" x14ac:dyDescent="0.2">
      <c r="A44" s="17" t="s">
        <v>37</v>
      </c>
      <c r="B44" s="60">
        <v>2130</v>
      </c>
      <c r="C44" s="60">
        <v>113</v>
      </c>
      <c r="D44" s="63"/>
      <c r="E44" s="63"/>
      <c r="F44" s="63"/>
      <c r="G44" s="63"/>
      <c r="H44" s="63"/>
      <c r="I44" s="63"/>
      <c r="J44" s="60" t="s">
        <v>12</v>
      </c>
      <c r="K44" s="63"/>
      <c r="M44" s="19">
        <f t="shared" si="4"/>
        <v>0</v>
      </c>
    </row>
    <row r="45" spans="1:13" ht="51" x14ac:dyDescent="0.2">
      <c r="A45" s="17" t="s">
        <v>38</v>
      </c>
      <c r="B45" s="60">
        <v>2140</v>
      </c>
      <c r="C45" s="60">
        <v>119</v>
      </c>
      <c r="D45" s="63">
        <f t="shared" ref="D45:I45" si="5">D46+D48</f>
        <v>6702380.2000000002</v>
      </c>
      <c r="E45" s="63">
        <f t="shared" si="5"/>
        <v>245609.4</v>
      </c>
      <c r="F45" s="63">
        <f t="shared" si="5"/>
        <v>6702380.2000000002</v>
      </c>
      <c r="G45" s="63">
        <f t="shared" si="5"/>
        <v>245609.4</v>
      </c>
      <c r="H45" s="63">
        <f t="shared" si="5"/>
        <v>6660087.2000000002</v>
      </c>
      <c r="I45" s="63">
        <f t="shared" si="5"/>
        <v>245609.4</v>
      </c>
      <c r="J45" s="60" t="s">
        <v>12</v>
      </c>
      <c r="K45" s="63"/>
      <c r="M45" s="19">
        <f t="shared" si="4"/>
        <v>42293</v>
      </c>
    </row>
    <row r="46" spans="1:13" x14ac:dyDescent="0.2">
      <c r="A46" s="17" t="s">
        <v>15</v>
      </c>
      <c r="B46" s="209">
        <v>2141</v>
      </c>
      <c r="C46" s="209">
        <v>119</v>
      </c>
      <c r="D46" s="208">
        <f>'3.7.1'!C12</f>
        <v>6702380.2000000002</v>
      </c>
      <c r="E46" s="208">
        <f>'3.7.1'!C13</f>
        <v>245609.4</v>
      </c>
      <c r="F46" s="208">
        <f>'3.7.1'!D12</f>
        <v>6702380.2000000002</v>
      </c>
      <c r="G46" s="208">
        <f>'3.7.1'!D13</f>
        <v>245609.4</v>
      </c>
      <c r="H46" s="208">
        <f>'3.7.1'!E12</f>
        <v>6660087.2000000002</v>
      </c>
      <c r="I46" s="208">
        <f>'3.7.1'!E13</f>
        <v>245609.4</v>
      </c>
      <c r="J46" s="209" t="s">
        <v>12</v>
      </c>
      <c r="K46" s="208"/>
      <c r="M46" s="19">
        <f t="shared" si="4"/>
        <v>42293</v>
      </c>
    </row>
    <row r="47" spans="1:13" x14ac:dyDescent="0.2">
      <c r="A47" s="17" t="s">
        <v>39</v>
      </c>
      <c r="B47" s="209"/>
      <c r="C47" s="209"/>
      <c r="D47" s="208"/>
      <c r="E47" s="208"/>
      <c r="F47" s="208"/>
      <c r="G47" s="208"/>
      <c r="H47" s="208"/>
      <c r="I47" s="208"/>
      <c r="J47" s="209"/>
      <c r="K47" s="208"/>
      <c r="M47" s="19">
        <f t="shared" si="4"/>
        <v>0</v>
      </c>
    </row>
    <row r="48" spans="1:13" ht="12" customHeight="1" x14ac:dyDescent="0.2">
      <c r="A48" s="17" t="s">
        <v>40</v>
      </c>
      <c r="B48" s="60">
        <v>2142</v>
      </c>
      <c r="C48" s="60">
        <v>119</v>
      </c>
      <c r="D48" s="63"/>
      <c r="E48" s="63"/>
      <c r="F48" s="63"/>
      <c r="G48" s="63"/>
      <c r="H48" s="63"/>
      <c r="I48" s="63"/>
      <c r="J48" s="60" t="s">
        <v>12</v>
      </c>
      <c r="K48" s="63"/>
      <c r="M48" s="19">
        <f t="shared" si="4"/>
        <v>0</v>
      </c>
    </row>
    <row r="49" spans="1:13" ht="38.25" x14ac:dyDescent="0.2">
      <c r="A49" s="17" t="s">
        <v>41</v>
      </c>
      <c r="B49" s="60">
        <v>2150</v>
      </c>
      <c r="C49" s="60">
        <v>131</v>
      </c>
      <c r="D49" s="63"/>
      <c r="E49" s="63"/>
      <c r="F49" s="63"/>
      <c r="G49" s="63"/>
      <c r="H49" s="63"/>
      <c r="I49" s="63"/>
      <c r="J49" s="60" t="s">
        <v>12</v>
      </c>
      <c r="K49" s="63"/>
      <c r="M49" s="19">
        <f t="shared" si="4"/>
        <v>0</v>
      </c>
    </row>
    <row r="50" spans="1:13" ht="51" x14ac:dyDescent="0.2">
      <c r="A50" s="57" t="s">
        <v>459</v>
      </c>
      <c r="B50" s="92">
        <v>2160</v>
      </c>
      <c r="C50" s="92">
        <v>133</v>
      </c>
      <c r="D50" s="93"/>
      <c r="E50" s="93"/>
      <c r="F50" s="93"/>
      <c r="G50" s="93"/>
      <c r="H50" s="93"/>
      <c r="I50" s="93"/>
      <c r="J50" s="92" t="s">
        <v>12</v>
      </c>
      <c r="K50" s="93"/>
      <c r="M50" s="19">
        <f t="shared" si="4"/>
        <v>0</v>
      </c>
    </row>
    <row r="51" spans="1:13" ht="38.25" x14ac:dyDescent="0.2">
      <c r="A51" s="17" t="s">
        <v>42</v>
      </c>
      <c r="B51" s="60">
        <v>2170</v>
      </c>
      <c r="C51" s="60">
        <v>134</v>
      </c>
      <c r="D51" s="63"/>
      <c r="E51" s="63"/>
      <c r="F51" s="63"/>
      <c r="G51" s="63"/>
      <c r="H51" s="63"/>
      <c r="I51" s="63"/>
      <c r="J51" s="60" t="s">
        <v>12</v>
      </c>
      <c r="K51" s="63"/>
      <c r="M51" s="19">
        <f t="shared" si="4"/>
        <v>0</v>
      </c>
    </row>
    <row r="52" spans="1:13" ht="51" x14ac:dyDescent="0.2">
      <c r="A52" s="17" t="s">
        <v>43</v>
      </c>
      <c r="B52" s="60">
        <v>2180</v>
      </c>
      <c r="C52" s="60">
        <v>139</v>
      </c>
      <c r="D52" s="63"/>
      <c r="E52" s="63"/>
      <c r="F52" s="63"/>
      <c r="G52" s="63"/>
      <c r="H52" s="63"/>
      <c r="I52" s="63"/>
      <c r="J52" s="60" t="s">
        <v>12</v>
      </c>
      <c r="K52" s="63"/>
      <c r="M52" s="19">
        <f t="shared" ref="M52:M60" si="6">D52-H52</f>
        <v>0</v>
      </c>
    </row>
    <row r="53" spans="1:13" x14ac:dyDescent="0.2">
      <c r="A53" s="17" t="s">
        <v>15</v>
      </c>
      <c r="B53" s="209">
        <v>2181</v>
      </c>
      <c r="C53" s="209">
        <v>139</v>
      </c>
      <c r="D53" s="208"/>
      <c r="E53" s="208"/>
      <c r="F53" s="208"/>
      <c r="G53" s="208"/>
      <c r="H53" s="208"/>
      <c r="I53" s="208"/>
      <c r="J53" s="209" t="s">
        <v>12</v>
      </c>
      <c r="K53" s="208"/>
      <c r="M53" s="19">
        <f t="shared" si="6"/>
        <v>0</v>
      </c>
    </row>
    <row r="54" spans="1:13" x14ac:dyDescent="0.2">
      <c r="A54" s="17" t="s">
        <v>44</v>
      </c>
      <c r="B54" s="209"/>
      <c r="C54" s="209"/>
      <c r="D54" s="208"/>
      <c r="E54" s="208"/>
      <c r="F54" s="208"/>
      <c r="G54" s="208"/>
      <c r="H54" s="208"/>
      <c r="I54" s="208"/>
      <c r="J54" s="209"/>
      <c r="K54" s="208"/>
      <c r="M54" s="19">
        <f t="shared" si="6"/>
        <v>0</v>
      </c>
    </row>
    <row r="55" spans="1:13" ht="25.5" x14ac:dyDescent="0.2">
      <c r="A55" s="17" t="s">
        <v>45</v>
      </c>
      <c r="B55" s="60">
        <v>2182</v>
      </c>
      <c r="C55" s="60">
        <v>139</v>
      </c>
      <c r="D55" s="63"/>
      <c r="E55" s="63"/>
      <c r="F55" s="63"/>
      <c r="G55" s="63"/>
      <c r="H55" s="63"/>
      <c r="I55" s="63"/>
      <c r="J55" s="60" t="s">
        <v>12</v>
      </c>
      <c r="K55" s="63"/>
      <c r="M55" s="19">
        <f t="shared" si="6"/>
        <v>0</v>
      </c>
    </row>
    <row r="56" spans="1:13" ht="25.5" x14ac:dyDescent="0.2">
      <c r="A56" s="17" t="s">
        <v>46</v>
      </c>
      <c r="B56" s="60">
        <v>2200</v>
      </c>
      <c r="C56" s="60">
        <v>300</v>
      </c>
      <c r="D56" s="63">
        <f t="shared" ref="D56:I56" si="7">D57+D62</f>
        <v>0</v>
      </c>
      <c r="E56" s="63">
        <f t="shared" si="7"/>
        <v>0</v>
      </c>
      <c r="F56" s="63">
        <f t="shared" si="7"/>
        <v>0</v>
      </c>
      <c r="G56" s="63">
        <f t="shared" si="7"/>
        <v>0</v>
      </c>
      <c r="H56" s="63">
        <f t="shared" si="7"/>
        <v>0</v>
      </c>
      <c r="I56" s="63">
        <f t="shared" si="7"/>
        <v>0</v>
      </c>
      <c r="J56" s="60" t="s">
        <v>12</v>
      </c>
      <c r="K56" s="63"/>
      <c r="M56" s="19">
        <f t="shared" si="6"/>
        <v>0</v>
      </c>
    </row>
    <row r="57" spans="1:13" x14ac:dyDescent="0.2">
      <c r="A57" s="17" t="s">
        <v>15</v>
      </c>
      <c r="B57" s="209">
        <v>2210</v>
      </c>
      <c r="C57" s="209">
        <v>320</v>
      </c>
      <c r="D57" s="208">
        <f t="shared" ref="D57:I57" si="8">D59</f>
        <v>0</v>
      </c>
      <c r="E57" s="208">
        <f t="shared" si="8"/>
        <v>0</v>
      </c>
      <c r="F57" s="208">
        <f t="shared" si="8"/>
        <v>0</v>
      </c>
      <c r="G57" s="208">
        <f t="shared" si="8"/>
        <v>0</v>
      </c>
      <c r="H57" s="208">
        <f t="shared" si="8"/>
        <v>0</v>
      </c>
      <c r="I57" s="208">
        <f t="shared" si="8"/>
        <v>0</v>
      </c>
      <c r="J57" s="209" t="s">
        <v>12</v>
      </c>
      <c r="K57" s="208"/>
      <c r="M57" s="19">
        <f t="shared" si="6"/>
        <v>0</v>
      </c>
    </row>
    <row r="58" spans="1:13" ht="38.25" x14ac:dyDescent="0.2">
      <c r="A58" s="17" t="s">
        <v>47</v>
      </c>
      <c r="B58" s="209"/>
      <c r="C58" s="209"/>
      <c r="D58" s="208"/>
      <c r="E58" s="208"/>
      <c r="F58" s="208"/>
      <c r="G58" s="208"/>
      <c r="H58" s="208"/>
      <c r="I58" s="208"/>
      <c r="J58" s="209"/>
      <c r="K58" s="208"/>
      <c r="M58" s="19">
        <f t="shared" si="6"/>
        <v>0</v>
      </c>
    </row>
    <row r="59" spans="1:13" x14ac:dyDescent="0.2">
      <c r="A59" s="17" t="s">
        <v>31</v>
      </c>
      <c r="B59" s="209">
        <v>2211</v>
      </c>
      <c r="C59" s="209">
        <v>321</v>
      </c>
      <c r="D59" s="208">
        <f>'3.9'!I7</f>
        <v>0</v>
      </c>
      <c r="E59" s="208">
        <f>'3.9'!J7</f>
        <v>0</v>
      </c>
      <c r="F59" s="208">
        <f>'3.9'!K7</f>
        <v>0</v>
      </c>
      <c r="G59" s="208">
        <f>'3.9'!L7</f>
        <v>0</v>
      </c>
      <c r="H59" s="208">
        <f>'3.9'!M7</f>
        <v>0</v>
      </c>
      <c r="I59" s="208">
        <f>'3.9'!N7</f>
        <v>0</v>
      </c>
      <c r="J59" s="209" t="s">
        <v>12</v>
      </c>
      <c r="K59" s="208"/>
      <c r="M59" s="19">
        <f t="shared" si="6"/>
        <v>0</v>
      </c>
    </row>
    <row r="60" spans="1:13" ht="37.5" customHeight="1" x14ac:dyDescent="0.2">
      <c r="A60" s="17" t="s">
        <v>48</v>
      </c>
      <c r="B60" s="209"/>
      <c r="C60" s="209"/>
      <c r="D60" s="208"/>
      <c r="E60" s="208"/>
      <c r="F60" s="208"/>
      <c r="G60" s="208"/>
      <c r="H60" s="208"/>
      <c r="I60" s="208"/>
      <c r="J60" s="209"/>
      <c r="K60" s="208"/>
      <c r="M60" s="19">
        <f t="shared" si="6"/>
        <v>0</v>
      </c>
    </row>
    <row r="61" spans="1:13" ht="51" x14ac:dyDescent="0.2">
      <c r="A61" s="17" t="s">
        <v>49</v>
      </c>
      <c r="B61" s="60">
        <v>2220</v>
      </c>
      <c r="C61" s="60">
        <v>340</v>
      </c>
      <c r="D61" s="63"/>
      <c r="E61" s="63"/>
      <c r="F61" s="63"/>
      <c r="G61" s="63"/>
      <c r="H61" s="63"/>
      <c r="I61" s="63"/>
      <c r="J61" s="60" t="s">
        <v>12</v>
      </c>
      <c r="K61" s="63"/>
      <c r="M61" s="19">
        <f t="shared" ref="M61:M66" si="9">D61-H61</f>
        <v>0</v>
      </c>
    </row>
    <row r="62" spans="1:13" ht="75.75" customHeight="1" x14ac:dyDescent="0.2">
      <c r="A62" s="17" t="s">
        <v>50</v>
      </c>
      <c r="B62" s="60">
        <v>2230</v>
      </c>
      <c r="C62" s="60">
        <v>350</v>
      </c>
      <c r="D62" s="63"/>
      <c r="E62" s="63"/>
      <c r="F62" s="63"/>
      <c r="G62" s="63"/>
      <c r="H62" s="63"/>
      <c r="I62" s="63"/>
      <c r="J62" s="60" t="s">
        <v>12</v>
      </c>
      <c r="K62" s="63"/>
      <c r="M62" s="19">
        <f t="shared" si="9"/>
        <v>0</v>
      </c>
    </row>
    <row r="63" spans="1:13" x14ac:dyDescent="0.2">
      <c r="A63" s="17" t="s">
        <v>444</v>
      </c>
      <c r="B63" s="60">
        <v>2240</v>
      </c>
      <c r="C63" s="60">
        <v>360</v>
      </c>
      <c r="D63" s="63"/>
      <c r="E63" s="63"/>
      <c r="F63" s="63"/>
      <c r="G63" s="63"/>
      <c r="H63" s="63"/>
      <c r="I63" s="63"/>
      <c r="J63" s="60" t="s">
        <v>12</v>
      </c>
      <c r="K63" s="63"/>
      <c r="M63" s="19">
        <f t="shared" si="9"/>
        <v>0</v>
      </c>
    </row>
    <row r="64" spans="1:13" ht="25.5" x14ac:dyDescent="0.2">
      <c r="A64" s="17" t="s">
        <v>51</v>
      </c>
      <c r="B64" s="60">
        <v>2300</v>
      </c>
      <c r="C64" s="60">
        <v>850</v>
      </c>
      <c r="D64" s="63">
        <f>D65+D67+D68</f>
        <v>2000</v>
      </c>
      <c r="E64" s="99">
        <f>E65+E67+E68</f>
        <v>0</v>
      </c>
      <c r="F64" s="63">
        <f>F65+F67+F68</f>
        <v>2000</v>
      </c>
      <c r="G64" s="63"/>
      <c r="H64" s="63">
        <f>H65+H67+H68</f>
        <v>2000</v>
      </c>
      <c r="I64" s="63"/>
      <c r="J64" s="60" t="s">
        <v>12</v>
      </c>
      <c r="K64" s="63"/>
      <c r="M64" s="19">
        <f t="shared" si="9"/>
        <v>0</v>
      </c>
    </row>
    <row r="65" spans="1:13" x14ac:dyDescent="0.2">
      <c r="A65" s="17" t="s">
        <v>31</v>
      </c>
      <c r="B65" s="209">
        <v>2310</v>
      </c>
      <c r="C65" s="209">
        <v>851</v>
      </c>
      <c r="D65" s="208"/>
      <c r="E65" s="208"/>
      <c r="F65" s="208"/>
      <c r="G65" s="208"/>
      <c r="H65" s="208"/>
      <c r="I65" s="208"/>
      <c r="J65" s="209" t="s">
        <v>12</v>
      </c>
      <c r="K65" s="208"/>
      <c r="M65" s="19">
        <f t="shared" si="9"/>
        <v>0</v>
      </c>
    </row>
    <row r="66" spans="1:13" ht="25.5" x14ac:dyDescent="0.2">
      <c r="A66" s="17" t="s">
        <v>52</v>
      </c>
      <c r="B66" s="209"/>
      <c r="C66" s="209"/>
      <c r="D66" s="208"/>
      <c r="E66" s="208"/>
      <c r="F66" s="208"/>
      <c r="G66" s="208"/>
      <c r="H66" s="208"/>
      <c r="I66" s="208"/>
      <c r="J66" s="209"/>
      <c r="K66" s="208"/>
      <c r="M66" s="19">
        <f t="shared" si="9"/>
        <v>0</v>
      </c>
    </row>
    <row r="67" spans="1:13" ht="51" x14ac:dyDescent="0.2">
      <c r="A67" s="17" t="s">
        <v>53</v>
      </c>
      <c r="B67" s="60">
        <v>2320</v>
      </c>
      <c r="C67" s="60">
        <v>852</v>
      </c>
      <c r="D67" s="63">
        <f>'3.10(госпошлина)'!I9</f>
        <v>2000</v>
      </c>
      <c r="E67" s="63">
        <f>'3.10(госпошлина)'!I17</f>
        <v>0</v>
      </c>
      <c r="F67" s="63">
        <f>'3.10(госпошлина)'!J9</f>
        <v>2000</v>
      </c>
      <c r="G67" s="63"/>
      <c r="H67" s="63">
        <f>'3.10(госпошлина)'!K9</f>
        <v>2000</v>
      </c>
      <c r="I67" s="63"/>
      <c r="J67" s="60" t="s">
        <v>12</v>
      </c>
      <c r="K67" s="63"/>
      <c r="M67" s="19">
        <f t="shared" ref="M67:M75" si="10">D67-H67</f>
        <v>0</v>
      </c>
    </row>
    <row r="68" spans="1:13" ht="25.5" x14ac:dyDescent="0.2">
      <c r="A68" s="17" t="s">
        <v>54</v>
      </c>
      <c r="B68" s="60">
        <v>2330</v>
      </c>
      <c r="C68" s="60">
        <v>853</v>
      </c>
      <c r="D68" s="69"/>
      <c r="E68" s="63"/>
      <c r="F68" s="63"/>
      <c r="G68" s="63"/>
      <c r="H68" s="63"/>
      <c r="I68" s="63"/>
      <c r="J68" s="60" t="s">
        <v>12</v>
      </c>
      <c r="K68" s="63"/>
      <c r="M68" s="19">
        <f t="shared" si="10"/>
        <v>0</v>
      </c>
    </row>
    <row r="69" spans="1:13" ht="25.5" x14ac:dyDescent="0.2">
      <c r="A69" s="17" t="s">
        <v>55</v>
      </c>
      <c r="B69" s="60">
        <v>2400</v>
      </c>
      <c r="C69" s="60" t="s">
        <v>12</v>
      </c>
      <c r="D69" s="63"/>
      <c r="E69" s="63"/>
      <c r="F69" s="63"/>
      <c r="G69" s="63"/>
      <c r="H69" s="63"/>
      <c r="I69" s="63"/>
      <c r="J69" s="60" t="s">
        <v>12</v>
      </c>
      <c r="K69" s="63"/>
      <c r="M69" s="19">
        <f t="shared" si="10"/>
        <v>0</v>
      </c>
    </row>
    <row r="70" spans="1:13" x14ac:dyDescent="0.2">
      <c r="A70" s="17" t="s">
        <v>31</v>
      </c>
      <c r="B70" s="209">
        <v>2410</v>
      </c>
      <c r="C70" s="209">
        <v>613</v>
      </c>
      <c r="D70" s="208"/>
      <c r="E70" s="208"/>
      <c r="F70" s="208"/>
      <c r="G70" s="208"/>
      <c r="H70" s="208"/>
      <c r="I70" s="208"/>
      <c r="J70" s="209" t="s">
        <v>12</v>
      </c>
      <c r="K70" s="208"/>
      <c r="M70" s="19">
        <f t="shared" si="10"/>
        <v>0</v>
      </c>
    </row>
    <row r="71" spans="1:13" ht="25.5" x14ac:dyDescent="0.2">
      <c r="A71" s="17" t="s">
        <v>445</v>
      </c>
      <c r="B71" s="209"/>
      <c r="C71" s="209"/>
      <c r="D71" s="208"/>
      <c r="E71" s="208"/>
      <c r="F71" s="208"/>
      <c r="G71" s="208"/>
      <c r="H71" s="208"/>
      <c r="I71" s="208"/>
      <c r="J71" s="209"/>
      <c r="K71" s="208"/>
      <c r="M71" s="19">
        <f t="shared" si="10"/>
        <v>0</v>
      </c>
    </row>
    <row r="72" spans="1:13" ht="25.5" x14ac:dyDescent="0.2">
      <c r="A72" s="57" t="s">
        <v>446</v>
      </c>
      <c r="B72" s="60">
        <v>2420</v>
      </c>
      <c r="C72" s="60">
        <v>623</v>
      </c>
      <c r="D72" s="63"/>
      <c r="E72" s="63"/>
      <c r="F72" s="63"/>
      <c r="G72" s="63"/>
      <c r="H72" s="63"/>
      <c r="I72" s="63"/>
      <c r="J72" s="60"/>
      <c r="K72" s="63"/>
      <c r="M72" s="19">
        <f t="shared" si="10"/>
        <v>0</v>
      </c>
    </row>
    <row r="73" spans="1:13" ht="51" x14ac:dyDescent="0.2">
      <c r="A73" s="57" t="s">
        <v>447</v>
      </c>
      <c r="B73" s="60">
        <v>2430</v>
      </c>
      <c r="C73" s="60">
        <v>634</v>
      </c>
      <c r="D73" s="63"/>
      <c r="E73" s="63"/>
      <c r="F73" s="63"/>
      <c r="G73" s="63"/>
      <c r="H73" s="63"/>
      <c r="I73" s="63"/>
      <c r="J73" s="60"/>
      <c r="K73" s="63"/>
      <c r="M73" s="19">
        <f t="shared" si="10"/>
        <v>0</v>
      </c>
    </row>
    <row r="74" spans="1:13" ht="25.5" x14ac:dyDescent="0.2">
      <c r="A74" s="57" t="s">
        <v>56</v>
      </c>
      <c r="B74" s="60">
        <v>2440</v>
      </c>
      <c r="C74" s="60">
        <v>810</v>
      </c>
      <c r="D74" s="63"/>
      <c r="E74" s="63"/>
      <c r="F74" s="63"/>
      <c r="G74" s="63"/>
      <c r="H74" s="63"/>
      <c r="I74" s="63"/>
      <c r="J74" s="60"/>
      <c r="K74" s="63"/>
      <c r="M74" s="19">
        <f t="shared" si="10"/>
        <v>0</v>
      </c>
    </row>
    <row r="75" spans="1:13" x14ac:dyDescent="0.2">
      <c r="A75" s="17" t="s">
        <v>57</v>
      </c>
      <c r="B75" s="60">
        <v>2450</v>
      </c>
      <c r="C75" s="60">
        <v>862</v>
      </c>
      <c r="D75" s="63"/>
      <c r="E75" s="63"/>
      <c r="F75" s="63"/>
      <c r="G75" s="63"/>
      <c r="H75" s="63"/>
      <c r="I75" s="63"/>
      <c r="J75" s="60" t="s">
        <v>12</v>
      </c>
      <c r="K75" s="63"/>
      <c r="M75" s="19">
        <f t="shared" si="10"/>
        <v>0</v>
      </c>
    </row>
    <row r="76" spans="1:13" ht="51" x14ac:dyDescent="0.2">
      <c r="A76" s="17" t="s">
        <v>58</v>
      </c>
      <c r="B76" s="60">
        <v>2460</v>
      </c>
      <c r="C76" s="60">
        <v>863</v>
      </c>
      <c r="D76" s="63"/>
      <c r="E76" s="63"/>
      <c r="F76" s="63"/>
      <c r="G76" s="63"/>
      <c r="H76" s="63"/>
      <c r="I76" s="63"/>
      <c r="J76" s="60" t="s">
        <v>12</v>
      </c>
      <c r="K76" s="63"/>
      <c r="M76" s="19">
        <f t="shared" ref="M76:M78" si="11">D76-H76</f>
        <v>0</v>
      </c>
    </row>
    <row r="77" spans="1:13" ht="25.5" x14ac:dyDescent="0.2">
      <c r="A77" s="17" t="s">
        <v>59</v>
      </c>
      <c r="B77" s="60">
        <v>2500</v>
      </c>
      <c r="C77" s="60" t="s">
        <v>12</v>
      </c>
      <c r="D77" s="63">
        <f>'3.12(проезд)'!I9+'3.12(проезд)'!I17</f>
        <v>0</v>
      </c>
      <c r="E77" s="63">
        <v>0</v>
      </c>
      <c r="F77" s="63">
        <f>'3.12(проезд)'!J9+'3.12(проезд)'!J17</f>
        <v>0</v>
      </c>
      <c r="G77" s="63">
        <f>E77</f>
        <v>0</v>
      </c>
      <c r="H77" s="63">
        <f>'3.12(проезд)'!K9+'3.12(проезд)'!K17</f>
        <v>0</v>
      </c>
      <c r="I77" s="63">
        <f>E77</f>
        <v>0</v>
      </c>
      <c r="J77" s="60" t="s">
        <v>12</v>
      </c>
      <c r="K77" s="63"/>
      <c r="M77" s="19">
        <f t="shared" si="11"/>
        <v>0</v>
      </c>
    </row>
    <row r="78" spans="1:13" ht="51" x14ac:dyDescent="0.2">
      <c r="A78" s="17" t="s">
        <v>60</v>
      </c>
      <c r="B78" s="60">
        <v>2520</v>
      </c>
      <c r="C78" s="60">
        <v>831</v>
      </c>
      <c r="D78" s="63"/>
      <c r="E78" s="63"/>
      <c r="F78" s="63"/>
      <c r="G78" s="63"/>
      <c r="H78" s="63"/>
      <c r="I78" s="63"/>
      <c r="J78" s="60" t="s">
        <v>12</v>
      </c>
      <c r="K78" s="63"/>
      <c r="M78" s="19">
        <f t="shared" si="11"/>
        <v>0</v>
      </c>
    </row>
    <row r="79" spans="1:13" ht="25.5" x14ac:dyDescent="0.2">
      <c r="A79" s="16" t="s">
        <v>61</v>
      </c>
      <c r="B79" s="60">
        <v>2600</v>
      </c>
      <c r="C79" s="60" t="s">
        <v>12</v>
      </c>
      <c r="D79" s="63">
        <f t="shared" ref="D79:I79" si="12">D80+D82+D83+D84</f>
        <v>7000431</v>
      </c>
      <c r="E79" s="97">
        <f t="shared" si="12"/>
        <v>4450807.0599999996</v>
      </c>
      <c r="F79" s="97">
        <f t="shared" si="12"/>
        <v>7000431</v>
      </c>
      <c r="G79" s="97">
        <f t="shared" si="12"/>
        <v>3851009</v>
      </c>
      <c r="H79" s="97">
        <f t="shared" si="12"/>
        <v>7000431</v>
      </c>
      <c r="I79" s="97">
        <f t="shared" si="12"/>
        <v>3851009</v>
      </c>
      <c r="J79" s="60"/>
      <c r="K79" s="63"/>
      <c r="M79" s="19">
        <f t="shared" ref="M79:M82" si="13">D79-H79</f>
        <v>0</v>
      </c>
    </row>
    <row r="80" spans="1:13" x14ac:dyDescent="0.2">
      <c r="A80" s="17" t="s">
        <v>15</v>
      </c>
      <c r="B80" s="209">
        <v>2610</v>
      </c>
      <c r="C80" s="209">
        <v>241</v>
      </c>
      <c r="D80" s="208"/>
      <c r="E80" s="208"/>
      <c r="F80" s="208"/>
      <c r="G80" s="208"/>
      <c r="H80" s="208"/>
      <c r="I80" s="208"/>
      <c r="J80" s="209"/>
      <c r="K80" s="208"/>
      <c r="M80" s="19">
        <f t="shared" si="13"/>
        <v>0</v>
      </c>
    </row>
    <row r="81" spans="1:13" ht="25.5" x14ac:dyDescent="0.2">
      <c r="A81" s="17" t="s">
        <v>62</v>
      </c>
      <c r="B81" s="209"/>
      <c r="C81" s="209"/>
      <c r="D81" s="208"/>
      <c r="E81" s="208"/>
      <c r="F81" s="208"/>
      <c r="G81" s="208"/>
      <c r="H81" s="208"/>
      <c r="I81" s="208"/>
      <c r="J81" s="209"/>
      <c r="K81" s="208"/>
      <c r="M81" s="19">
        <f t="shared" si="13"/>
        <v>0</v>
      </c>
    </row>
    <row r="82" spans="1:13" ht="38.25" x14ac:dyDescent="0.2">
      <c r="A82" s="17" t="s">
        <v>63</v>
      </c>
      <c r="B82" s="60">
        <v>2630</v>
      </c>
      <c r="C82" s="60">
        <v>243</v>
      </c>
      <c r="D82" s="63"/>
      <c r="E82" s="63"/>
      <c r="F82" s="63"/>
      <c r="G82" s="63"/>
      <c r="H82" s="63"/>
      <c r="I82" s="63"/>
      <c r="J82" s="60"/>
      <c r="K82" s="63"/>
      <c r="M82" s="19">
        <f t="shared" si="13"/>
        <v>0</v>
      </c>
    </row>
    <row r="83" spans="1:13" ht="25.5" x14ac:dyDescent="0.2">
      <c r="A83" s="17" t="s">
        <v>64</v>
      </c>
      <c r="B83" s="60">
        <v>2640</v>
      </c>
      <c r="C83" s="60">
        <v>244</v>
      </c>
      <c r="D83" s="63">
        <f>'3.13.1'!D13+'3.13.1'!F13+'3.13.1'!H13+'3.13.1'!I13+'3.13.1'!J13+'3.13.1'!K13+'3.13.1'!E13+'3.13.1'!G13-D84</f>
        <v>4666431</v>
      </c>
      <c r="E83" s="63">
        <f>'3.13.1'!L13+'3.13.1'!M13+'3.13.1'!N13+'3.13.1'!O13</f>
        <v>4450807.0599999996</v>
      </c>
      <c r="F83" s="63">
        <f>'3.13.1'!D37+'3.13.1'!F37+'3.13.1'!H37+'3.13.1'!I37+'3.13.1'!J37+'3.13.1'!K37+'3.13.1'!E37-F84</f>
        <v>4666431</v>
      </c>
      <c r="G83" s="63">
        <f>'3.13.1'!L37+'3.13.1'!M37+'3.13.1'!N37+'3.13.1'!O37</f>
        <v>3851009</v>
      </c>
      <c r="H83" s="63">
        <f>'3.13.1'!D61+'3.13.1'!F61+'3.13.1'!H61+'3.13.1'!I61+'3.13.1'!J61+'3.13.1'!K61+'3.13.1'!E61-H84</f>
        <v>4666431</v>
      </c>
      <c r="I83" s="63">
        <f>'3.13.1'!L61+'3.13.1'!M61+'3.13.1'!N61+'3.13.1'!O61</f>
        <v>3851009</v>
      </c>
      <c r="J83" s="60"/>
      <c r="K83" s="63"/>
      <c r="M83" s="19">
        <f>D83-H83</f>
        <v>0</v>
      </c>
    </row>
    <row r="84" spans="1:13" x14ac:dyDescent="0.2">
      <c r="A84" s="57" t="s">
        <v>494</v>
      </c>
      <c r="B84" s="96">
        <v>2641</v>
      </c>
      <c r="C84" s="96">
        <v>247</v>
      </c>
      <c r="D84" s="97">
        <f>'3.13.4(223)'!I7+'3.13.4(223)'!I8+'3.13.4(223)'!I9+'3.13.4(223)'!I10+'3.13.4(223)'!I11+'3.13.4(223)'!I12+'3.13.4(223)'!I17+'3.13.4(223)'!I18</f>
        <v>2334000</v>
      </c>
      <c r="E84" s="97"/>
      <c r="F84" s="97">
        <f>'3.13.4(223)'!J7+'3.13.4(223)'!J8+'3.13.4(223)'!J9+'3.13.4(223)'!J10+'3.13.4(223)'!J11+'3.13.4(223)'!J12+'3.13.4(223)'!J17+'3.13.4(223)'!J18</f>
        <v>2334000</v>
      </c>
      <c r="G84" s="97"/>
      <c r="H84" s="97">
        <f>'3.13.4(223)'!K7+'3.13.4(223)'!K8+'3.13.4(223)'!K9+'3.13.4(223)'!K10+'3.13.4(223)'!K11+'3.13.4(223)'!K12+'3.13.4(223)'!K17+'3.13.4(223)'!K18</f>
        <v>2334000</v>
      </c>
      <c r="I84" s="97"/>
      <c r="J84" s="96"/>
      <c r="K84" s="97"/>
    </row>
    <row r="85" spans="1:13" x14ac:dyDescent="0.2">
      <c r="A85" s="17" t="s">
        <v>31</v>
      </c>
      <c r="B85" s="60"/>
      <c r="C85" s="60"/>
      <c r="D85" s="63"/>
      <c r="E85" s="63"/>
      <c r="F85" s="63"/>
      <c r="G85" s="63"/>
      <c r="H85" s="63"/>
      <c r="I85" s="63"/>
      <c r="J85" s="60"/>
      <c r="K85" s="63"/>
    </row>
    <row r="86" spans="1:13" ht="25.5" x14ac:dyDescent="0.2">
      <c r="A86" s="17" t="s">
        <v>65</v>
      </c>
      <c r="B86" s="60">
        <v>2650</v>
      </c>
      <c r="C86" s="60">
        <v>400</v>
      </c>
      <c r="D86" s="63"/>
      <c r="E86" s="63"/>
      <c r="F86" s="63"/>
      <c r="G86" s="63"/>
      <c r="H86" s="63"/>
      <c r="I86" s="63"/>
      <c r="J86" s="60"/>
      <c r="K86" s="63"/>
    </row>
    <row r="87" spans="1:13" x14ac:dyDescent="0.2">
      <c r="A87" s="17" t="s">
        <v>15</v>
      </c>
      <c r="B87" s="209">
        <v>2651</v>
      </c>
      <c r="C87" s="209">
        <v>406</v>
      </c>
      <c r="D87" s="208"/>
      <c r="E87" s="208"/>
      <c r="F87" s="208"/>
      <c r="G87" s="208"/>
      <c r="H87" s="208"/>
      <c r="I87" s="208"/>
      <c r="J87" s="209"/>
      <c r="K87" s="208"/>
    </row>
    <row r="88" spans="1:13" ht="38.25" x14ac:dyDescent="0.2">
      <c r="A88" s="17" t="s">
        <v>66</v>
      </c>
      <c r="B88" s="209"/>
      <c r="C88" s="209"/>
      <c r="D88" s="208"/>
      <c r="E88" s="208"/>
      <c r="F88" s="208"/>
      <c r="G88" s="208"/>
      <c r="H88" s="208"/>
      <c r="I88" s="208"/>
      <c r="J88" s="209"/>
      <c r="K88" s="208"/>
    </row>
    <row r="89" spans="1:13" ht="38.25" x14ac:dyDescent="0.2">
      <c r="A89" s="17" t="s">
        <v>67</v>
      </c>
      <c r="B89" s="60">
        <v>2652</v>
      </c>
      <c r="C89" s="60">
        <v>407</v>
      </c>
      <c r="D89" s="63"/>
      <c r="E89" s="63"/>
      <c r="F89" s="63"/>
      <c r="G89" s="63"/>
      <c r="H89" s="63"/>
      <c r="I89" s="63"/>
      <c r="J89" s="60"/>
      <c r="K89" s="63"/>
    </row>
    <row r="90" spans="1:13" x14ac:dyDescent="0.2">
      <c r="A90" s="16" t="s">
        <v>68</v>
      </c>
      <c r="B90" s="60">
        <v>3000</v>
      </c>
      <c r="C90" s="60">
        <v>100</v>
      </c>
      <c r="D90" s="63"/>
      <c r="E90" s="63"/>
      <c r="F90" s="63"/>
      <c r="G90" s="63"/>
      <c r="H90" s="63"/>
      <c r="I90" s="63"/>
      <c r="J90" s="60" t="s">
        <v>12</v>
      </c>
      <c r="K90" s="63"/>
    </row>
    <row r="91" spans="1:13" x14ac:dyDescent="0.2">
      <c r="A91" s="17" t="s">
        <v>15</v>
      </c>
      <c r="B91" s="209">
        <v>3010</v>
      </c>
      <c r="C91" s="209"/>
      <c r="D91" s="208"/>
      <c r="E91" s="208"/>
      <c r="F91" s="208"/>
      <c r="G91" s="208"/>
      <c r="H91" s="208"/>
      <c r="I91" s="208"/>
      <c r="J91" s="209" t="s">
        <v>12</v>
      </c>
      <c r="K91" s="208"/>
    </row>
    <row r="92" spans="1:13" x14ac:dyDescent="0.2">
      <c r="A92" s="16" t="s">
        <v>69</v>
      </c>
      <c r="B92" s="209"/>
      <c r="C92" s="209"/>
      <c r="D92" s="208"/>
      <c r="E92" s="208"/>
      <c r="F92" s="208"/>
      <c r="G92" s="208"/>
      <c r="H92" s="208"/>
      <c r="I92" s="208"/>
      <c r="J92" s="209"/>
      <c r="K92" s="208"/>
    </row>
    <row r="93" spans="1:13" x14ac:dyDescent="0.2">
      <c r="A93" s="16" t="s">
        <v>70</v>
      </c>
      <c r="B93" s="60">
        <v>3020</v>
      </c>
      <c r="C93" s="60"/>
      <c r="D93" s="63"/>
      <c r="E93" s="63"/>
      <c r="F93" s="63"/>
      <c r="G93" s="63"/>
      <c r="H93" s="63"/>
      <c r="I93" s="63"/>
      <c r="J93" s="60" t="s">
        <v>12</v>
      </c>
      <c r="K93" s="63"/>
    </row>
    <row r="94" spans="1:13" x14ac:dyDescent="0.2">
      <c r="A94" s="16" t="s">
        <v>71</v>
      </c>
      <c r="B94" s="60">
        <v>3030</v>
      </c>
      <c r="C94" s="60"/>
      <c r="D94" s="63"/>
      <c r="E94" s="63"/>
      <c r="F94" s="63"/>
      <c r="G94" s="63"/>
      <c r="H94" s="63"/>
      <c r="I94" s="63"/>
      <c r="J94" s="60" t="s">
        <v>12</v>
      </c>
      <c r="K94" s="63"/>
    </row>
    <row r="95" spans="1:13" x14ac:dyDescent="0.2">
      <c r="A95" s="16" t="s">
        <v>72</v>
      </c>
      <c r="B95" s="60">
        <v>4000</v>
      </c>
      <c r="C95" s="60" t="s">
        <v>12</v>
      </c>
      <c r="D95" s="63"/>
      <c r="E95" s="63"/>
      <c r="F95" s="63"/>
      <c r="G95" s="63"/>
      <c r="H95" s="63"/>
      <c r="I95" s="63"/>
      <c r="J95" s="60" t="s">
        <v>12</v>
      </c>
      <c r="K95" s="63"/>
    </row>
    <row r="96" spans="1:13" x14ac:dyDescent="0.2">
      <c r="A96" s="17" t="s">
        <v>31</v>
      </c>
      <c r="B96" s="209">
        <v>4010</v>
      </c>
      <c r="C96" s="209">
        <v>610</v>
      </c>
      <c r="D96" s="208"/>
      <c r="E96" s="208"/>
      <c r="F96" s="208"/>
      <c r="G96" s="208"/>
      <c r="H96" s="208"/>
      <c r="I96" s="208"/>
      <c r="J96" s="209" t="s">
        <v>12</v>
      </c>
      <c r="K96" s="208"/>
    </row>
    <row r="97" spans="1:11" x14ac:dyDescent="0.2">
      <c r="A97" s="17" t="s">
        <v>73</v>
      </c>
      <c r="B97" s="209"/>
      <c r="C97" s="209"/>
      <c r="D97" s="208"/>
      <c r="E97" s="208"/>
      <c r="F97" s="208"/>
      <c r="G97" s="208"/>
      <c r="H97" s="208"/>
      <c r="I97" s="208"/>
      <c r="J97" s="209"/>
      <c r="K97" s="208"/>
    </row>
    <row r="98" spans="1:11" x14ac:dyDescent="0.2">
      <c r="D98" s="19">
        <f>D7+D9+D10-D38</f>
        <v>0</v>
      </c>
      <c r="E98" s="19">
        <f t="shared" ref="E98:K98" si="14">E7+E9+E10-E38</f>
        <v>0</v>
      </c>
      <c r="F98" s="19">
        <f t="shared" si="14"/>
        <v>0</v>
      </c>
      <c r="G98" s="19">
        <f t="shared" si="14"/>
        <v>0</v>
      </c>
      <c r="H98" s="19">
        <f t="shared" si="14"/>
        <v>0</v>
      </c>
      <c r="I98" s="19">
        <f t="shared" si="14"/>
        <v>0</v>
      </c>
      <c r="J98" s="19">
        <f t="shared" si="14"/>
        <v>0</v>
      </c>
      <c r="K98" s="19">
        <f t="shared" si="14"/>
        <v>0</v>
      </c>
    </row>
    <row r="100" spans="1:11" x14ac:dyDescent="0.2">
      <c r="A100" s="202" t="s">
        <v>479</v>
      </c>
      <c r="B100" s="203">
        <v>3</v>
      </c>
      <c r="C100" s="204">
        <v>44562</v>
      </c>
      <c r="D100" s="205">
        <v>9309835</v>
      </c>
      <c r="E100" s="206" t="s">
        <v>542</v>
      </c>
      <c r="F100" s="203" t="s">
        <v>545</v>
      </c>
      <c r="G100" s="200"/>
      <c r="H100" s="201"/>
      <c r="I100" s="199" t="s">
        <v>543</v>
      </c>
    </row>
    <row r="101" spans="1:11" x14ac:dyDescent="0.2">
      <c r="A101" s="202" t="s">
        <v>479</v>
      </c>
      <c r="B101" s="203">
        <v>4</v>
      </c>
      <c r="C101" s="204">
        <v>44562</v>
      </c>
      <c r="D101" s="205">
        <v>7671250</v>
      </c>
      <c r="E101" s="206" t="s">
        <v>542</v>
      </c>
      <c r="F101" s="203" t="s">
        <v>546</v>
      </c>
      <c r="G101" s="200"/>
      <c r="H101" s="201"/>
    </row>
    <row r="102" spans="1:11" x14ac:dyDescent="0.2">
      <c r="A102" s="202" t="s">
        <v>479</v>
      </c>
      <c r="B102" s="203">
        <v>4</v>
      </c>
      <c r="C102" s="204">
        <v>44562</v>
      </c>
      <c r="D102" s="205">
        <v>18766270</v>
      </c>
      <c r="E102" s="206" t="s">
        <v>542</v>
      </c>
      <c r="F102" s="203" t="s">
        <v>547</v>
      </c>
      <c r="G102" s="200"/>
      <c r="H102" s="201"/>
    </row>
    <row r="103" spans="1:11" x14ac:dyDescent="0.2">
      <c r="A103" s="202" t="s">
        <v>479</v>
      </c>
      <c r="B103" s="203">
        <v>4</v>
      </c>
      <c r="C103" s="204">
        <v>44562</v>
      </c>
      <c r="D103" s="205">
        <v>90000</v>
      </c>
      <c r="E103" s="206" t="s">
        <v>542</v>
      </c>
      <c r="F103" s="203" t="s">
        <v>544</v>
      </c>
      <c r="G103" s="200"/>
      <c r="H103" s="201"/>
    </row>
    <row r="104" spans="1:11" x14ac:dyDescent="0.2">
      <c r="A104" s="202" t="s">
        <v>479</v>
      </c>
      <c r="B104" s="203">
        <v>4</v>
      </c>
      <c r="C104" s="204">
        <v>44562</v>
      </c>
      <c r="D104" s="205">
        <v>67200</v>
      </c>
      <c r="E104" s="206" t="s">
        <v>542</v>
      </c>
      <c r="F104" s="203" t="s">
        <v>548</v>
      </c>
      <c r="G104" s="200"/>
      <c r="H104" s="201"/>
    </row>
  </sheetData>
  <mergeCells count="182">
    <mergeCell ref="J29:J30"/>
    <mergeCell ref="K29:K30"/>
    <mergeCell ref="J96:J97"/>
    <mergeCell ref="K96:K97"/>
    <mergeCell ref="A1:D1"/>
    <mergeCell ref="B29:B30"/>
    <mergeCell ref="C29:C30"/>
    <mergeCell ref="D29:D30"/>
    <mergeCell ref="E29:E30"/>
    <mergeCell ref="F29:F30"/>
    <mergeCell ref="G29:G30"/>
    <mergeCell ref="H29:H30"/>
    <mergeCell ref="J91:J92"/>
    <mergeCell ref="K91:K92"/>
    <mergeCell ref="B96:B97"/>
    <mergeCell ref="C96:C97"/>
    <mergeCell ref="D96:D97"/>
    <mergeCell ref="E96:E97"/>
    <mergeCell ref="F96:F97"/>
    <mergeCell ref="G96:G97"/>
    <mergeCell ref="H96:H97"/>
    <mergeCell ref="I96:I97"/>
    <mergeCell ref="J87:J88"/>
    <mergeCell ref="B91:B92"/>
    <mergeCell ref="C91:C92"/>
    <mergeCell ref="D91:D92"/>
    <mergeCell ref="E91:E92"/>
    <mergeCell ref="F91:F92"/>
    <mergeCell ref="G91:G92"/>
    <mergeCell ref="H91:H92"/>
    <mergeCell ref="I91:I92"/>
    <mergeCell ref="I29:I30"/>
    <mergeCell ref="B87:B88"/>
    <mergeCell ref="C87:C88"/>
    <mergeCell ref="D87:D88"/>
    <mergeCell ref="E87:E88"/>
    <mergeCell ref="F87:F88"/>
    <mergeCell ref="G87:G88"/>
    <mergeCell ref="H87:H88"/>
    <mergeCell ref="I87:I88"/>
    <mergeCell ref="H41:H42"/>
    <mergeCell ref="I41:I42"/>
    <mergeCell ref="D36:D37"/>
    <mergeCell ref="E36:E37"/>
    <mergeCell ref="F36:F37"/>
    <mergeCell ref="G36:G37"/>
    <mergeCell ref="H36:H37"/>
    <mergeCell ref="I36:I37"/>
    <mergeCell ref="K87:K88"/>
    <mergeCell ref="K70:K71"/>
    <mergeCell ref="B80:B81"/>
    <mergeCell ref="C80:C81"/>
    <mergeCell ref="D80:D81"/>
    <mergeCell ref="E80:E81"/>
    <mergeCell ref="F80:F81"/>
    <mergeCell ref="G80:G81"/>
    <mergeCell ref="H80:H81"/>
    <mergeCell ref="I80:I81"/>
    <mergeCell ref="J80:J81"/>
    <mergeCell ref="K80:K81"/>
    <mergeCell ref="B70:B71"/>
    <mergeCell ref="C70:C71"/>
    <mergeCell ref="D70:D71"/>
    <mergeCell ref="E70:E71"/>
    <mergeCell ref="F70:F71"/>
    <mergeCell ref="G70:G71"/>
    <mergeCell ref="H70:H71"/>
    <mergeCell ref="I70:I71"/>
    <mergeCell ref="J70:J71"/>
    <mergeCell ref="K59:K60"/>
    <mergeCell ref="B65:B66"/>
    <mergeCell ref="C65:C66"/>
    <mergeCell ref="D65:D66"/>
    <mergeCell ref="E65:E66"/>
    <mergeCell ref="F65:F66"/>
    <mergeCell ref="G65:G66"/>
    <mergeCell ref="H65:H66"/>
    <mergeCell ref="I65:I66"/>
    <mergeCell ref="J65:J66"/>
    <mergeCell ref="K65:K66"/>
    <mergeCell ref="B59:B60"/>
    <mergeCell ref="C59:C60"/>
    <mergeCell ref="D59:D60"/>
    <mergeCell ref="E59:E60"/>
    <mergeCell ref="F59:F60"/>
    <mergeCell ref="G59:G60"/>
    <mergeCell ref="H59:H60"/>
    <mergeCell ref="I59:I60"/>
    <mergeCell ref="J59:J60"/>
    <mergeCell ref="K53:K54"/>
    <mergeCell ref="B57:B58"/>
    <mergeCell ref="C57:C58"/>
    <mergeCell ref="D57:D58"/>
    <mergeCell ref="E57:E58"/>
    <mergeCell ref="F57:F58"/>
    <mergeCell ref="G57:G58"/>
    <mergeCell ref="H57:H58"/>
    <mergeCell ref="I57:I58"/>
    <mergeCell ref="J57:J58"/>
    <mergeCell ref="K57:K58"/>
    <mergeCell ref="B53:B54"/>
    <mergeCell ref="C53:C54"/>
    <mergeCell ref="D53:D54"/>
    <mergeCell ref="E53:E54"/>
    <mergeCell ref="F53:F54"/>
    <mergeCell ref="G53:G54"/>
    <mergeCell ref="H53:H54"/>
    <mergeCell ref="I53:I54"/>
    <mergeCell ref="J53:J54"/>
    <mergeCell ref="K41:K42"/>
    <mergeCell ref="B46:B47"/>
    <mergeCell ref="C46:C47"/>
    <mergeCell ref="D46:D47"/>
    <mergeCell ref="E46:E47"/>
    <mergeCell ref="F46:F47"/>
    <mergeCell ref="G46:G47"/>
    <mergeCell ref="H46:H47"/>
    <mergeCell ref="I46:I47"/>
    <mergeCell ref="J46:J47"/>
    <mergeCell ref="K46:K47"/>
    <mergeCell ref="B41:B42"/>
    <mergeCell ref="C41:C42"/>
    <mergeCell ref="D41:D42"/>
    <mergeCell ref="E41:E42"/>
    <mergeCell ref="F41:F42"/>
    <mergeCell ref="G41:G42"/>
    <mergeCell ref="J41:J42"/>
    <mergeCell ref="K11:K12"/>
    <mergeCell ref="B18:B19"/>
    <mergeCell ref="C18:C19"/>
    <mergeCell ref="D18:D19"/>
    <mergeCell ref="E18:E19"/>
    <mergeCell ref="F18:F19"/>
    <mergeCell ref="G18:G19"/>
    <mergeCell ref="H18:H19"/>
    <mergeCell ref="I18:I19"/>
    <mergeCell ref="J18:J19"/>
    <mergeCell ref="K18:K19"/>
    <mergeCell ref="B11:B12"/>
    <mergeCell ref="C11:C12"/>
    <mergeCell ref="D11:D12"/>
    <mergeCell ref="E11:E12"/>
    <mergeCell ref="F11:F12"/>
    <mergeCell ref="G11:G12"/>
    <mergeCell ref="H11:H12"/>
    <mergeCell ref="I11:I12"/>
    <mergeCell ref="J11:J12"/>
    <mergeCell ref="A2:A5"/>
    <mergeCell ref="B2:B5"/>
    <mergeCell ref="C2:C5"/>
    <mergeCell ref="D2:K2"/>
    <mergeCell ref="D3:E3"/>
    <mergeCell ref="F3:G3"/>
    <mergeCell ref="H3:I3"/>
    <mergeCell ref="J3:K4"/>
    <mergeCell ref="D4:E4"/>
    <mergeCell ref="F4:G4"/>
    <mergeCell ref="H4:I4"/>
    <mergeCell ref="F39:F40"/>
    <mergeCell ref="G39:G40"/>
    <mergeCell ref="H39:H40"/>
    <mergeCell ref="I39:I40"/>
    <mergeCell ref="J39:J40"/>
    <mergeCell ref="K39:K40"/>
    <mergeCell ref="B36:B37"/>
    <mergeCell ref="C36:C37"/>
    <mergeCell ref="K25:K26"/>
    <mergeCell ref="B25:B26"/>
    <mergeCell ref="C25:C26"/>
    <mergeCell ref="D25:D26"/>
    <mergeCell ref="E25:E26"/>
    <mergeCell ref="F25:F26"/>
    <mergeCell ref="G25:G26"/>
    <mergeCell ref="H25:H26"/>
    <mergeCell ref="I25:I26"/>
    <mergeCell ref="J25:J26"/>
    <mergeCell ref="J36:J37"/>
    <mergeCell ref="K36:K37"/>
    <mergeCell ref="B39:B40"/>
    <mergeCell ref="C39:C40"/>
    <mergeCell ref="D39:D40"/>
    <mergeCell ref="E39:E40"/>
  </mergeCells>
  <hyperlinks>
    <hyperlink ref="C2" location="Par1118" tooltip="&lt;3&gt; В графе 3 отражаются:" display="Par1118"/>
    <hyperlink ref="A7" location="Par1124" tooltip="&lt;4&gt; По строкам 0001 и 0002 указываются планируемые суммы остатков средств на начало и на конец планируемого года, если указанные показатели по решению органа, осуществляющего функции и полномочия учредителя, планируются на этапе формирования проекта Плана" display="Par1124"/>
    <hyperlink ref="A8" location="Par1124" tooltip="&lt;4&gt; По строкам 0001 и 0002 указываются планируемые суммы остатков средств на начало и на конец планируемого года, если указанные показатели по решению органа, осуществляющего функции и полномочия учредителя, планируются на этапе формирования проекта Плана" display="Par1124"/>
    <hyperlink ref="A35" location="Par1125" tooltip="&lt;5&gt; Показатели прочих поступлений включают в себя в том числе показатели увеличения денежных средств за счет возврата дебиторской задолженности прошлых лет, включая возврат предоставленных займов (микрозаймов), а также за счет возврата средств, размещенны" display="Par1125"/>
    <hyperlink ref="A79" location="Par1126" tooltip="&lt;6&gt; Показатели выплат по расходам на закупки товаров, работ, услуг, отраженные в строке 2600 раздела 1 &quot;Поступления и выплаты&quot; Плана, подлежат детализации в разделе 2 &quot;Сведения по выплатам на закупку товаров, работ, услуг&quot; Плана." display="Par1126"/>
    <hyperlink ref="A90" location="Par1127" tooltip="&lt;7&gt; Показатель отражается со знаком &quot;минус&quot;." display="Par1127"/>
    <hyperlink ref="A92" location="Par1127" tooltip="&lt;7&gt; Показатель отражается со знаком &quot;минус&quot;." display="Par1127"/>
    <hyperlink ref="A93" location="Par1127" tooltip="&lt;7&gt; Показатель отражается со знаком &quot;минус&quot;." display="Par1127"/>
    <hyperlink ref="A94" location="Par1127" tooltip="&lt;7&gt; Показатель отражается со знаком &quot;минус&quot;." display="Par1127"/>
    <hyperlink ref="A95" location="Par1128" tooltip="&lt;8&gt; Показатели прочих выплат включают в себя в том числе показатели уменьшения денежных средств за счет возврата средств субсидий, предоставленных до начала текущего финансового года, предоставления займов (микрозаймов), размещения автономными учреждениям" display="Par1128"/>
  </hyperlinks>
  <pageMargins left="0.39370078740157483" right="0.39370078740157483" top="0.39370078740157483" bottom="0.19685039370078741" header="0.31496062992125984" footer="0.11811023622047244"/>
  <pageSetup paperSize="9" scale="70" fitToHeight="3" orientation="landscape" r:id="rId1"/>
  <rowBreaks count="1" manualBreakCount="1">
    <brk id="37" max="10" man="1"/>
  </rowBreaks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K8"/>
  <sheetViews>
    <sheetView view="pageBreakPreview" zoomScale="130" zoomScaleNormal="100" zoomScaleSheetLayoutView="130" workbookViewId="0">
      <selection activeCell="E1" sqref="E1"/>
    </sheetView>
  </sheetViews>
  <sheetFormatPr defaultColWidth="9.140625" defaultRowHeight="12.75" x14ac:dyDescent="0.2"/>
  <cols>
    <col min="1" max="1" width="26.5703125" style="2" customWidth="1"/>
    <col min="2" max="2" width="9.140625" style="2"/>
    <col min="3" max="11" width="17.85546875" style="2" customWidth="1"/>
    <col min="12" max="16384" width="9.140625" style="2"/>
  </cols>
  <sheetData>
    <row r="1" spans="1:11" x14ac:dyDescent="0.2">
      <c r="A1" s="2" t="s">
        <v>159</v>
      </c>
    </row>
    <row r="3" spans="1:11" ht="49.5" customHeight="1" x14ac:dyDescent="0.2">
      <c r="A3" s="231" t="s">
        <v>157</v>
      </c>
      <c r="B3" s="231" t="s">
        <v>1</v>
      </c>
      <c r="C3" s="231" t="s">
        <v>151</v>
      </c>
      <c r="D3" s="231"/>
      <c r="E3" s="231"/>
      <c r="F3" s="231" t="s">
        <v>158</v>
      </c>
      <c r="G3" s="231"/>
      <c r="H3" s="231"/>
      <c r="I3" s="231" t="s">
        <v>153</v>
      </c>
      <c r="J3" s="231"/>
      <c r="K3" s="231"/>
    </row>
    <row r="4" spans="1:11" x14ac:dyDescent="0.2">
      <c r="A4" s="231"/>
      <c r="B4" s="231"/>
      <c r="C4" s="1" t="s">
        <v>330</v>
      </c>
      <c r="D4" s="1" t="s">
        <v>331</v>
      </c>
      <c r="E4" s="1" t="s">
        <v>353</v>
      </c>
      <c r="F4" s="12" t="s">
        <v>330</v>
      </c>
      <c r="G4" s="12" t="s">
        <v>331</v>
      </c>
      <c r="H4" s="12" t="s">
        <v>353</v>
      </c>
      <c r="I4" s="12" t="s">
        <v>330</v>
      </c>
      <c r="J4" s="12" t="s">
        <v>331</v>
      </c>
      <c r="K4" s="12" t="s">
        <v>353</v>
      </c>
    </row>
    <row r="5" spans="1:11" ht="25.5" x14ac:dyDescent="0.2">
      <c r="A5" s="231"/>
      <c r="B5" s="231"/>
      <c r="C5" s="1" t="s">
        <v>79</v>
      </c>
      <c r="D5" s="1" t="s">
        <v>80</v>
      </c>
      <c r="E5" s="1" t="s">
        <v>81</v>
      </c>
      <c r="F5" s="1" t="s">
        <v>79</v>
      </c>
      <c r="G5" s="1" t="s">
        <v>80</v>
      </c>
      <c r="H5" s="1" t="s">
        <v>81</v>
      </c>
      <c r="I5" s="1" t="s">
        <v>79</v>
      </c>
      <c r="J5" s="1" t="s">
        <v>80</v>
      </c>
      <c r="K5" s="1" t="s">
        <v>81</v>
      </c>
    </row>
    <row r="6" spans="1:11" x14ac:dyDescent="0.2">
      <c r="A6" s="1">
        <v>1</v>
      </c>
      <c r="B6" s="1">
        <v>2</v>
      </c>
      <c r="C6" s="1">
        <v>3</v>
      </c>
      <c r="D6" s="1">
        <v>4</v>
      </c>
      <c r="E6" s="1">
        <v>5</v>
      </c>
      <c r="F6" s="1">
        <v>6</v>
      </c>
      <c r="G6" s="1">
        <v>7</v>
      </c>
      <c r="H6" s="1">
        <v>8</v>
      </c>
      <c r="I6" s="1">
        <v>9</v>
      </c>
      <c r="J6" s="1">
        <v>10</v>
      </c>
      <c r="K6" s="1">
        <v>11</v>
      </c>
    </row>
    <row r="7" spans="1:11" x14ac:dyDescent="0.2">
      <c r="A7" s="4"/>
      <c r="B7" s="1">
        <v>1</v>
      </c>
      <c r="C7" s="4"/>
      <c r="D7" s="4"/>
      <c r="E7" s="4"/>
      <c r="F7" s="4"/>
      <c r="G7" s="4"/>
      <c r="H7" s="4"/>
      <c r="I7" s="4">
        <v>0</v>
      </c>
      <c r="J7" s="4"/>
      <c r="K7" s="4"/>
    </row>
    <row r="8" spans="1:11" x14ac:dyDescent="0.2">
      <c r="A8" s="4" t="s">
        <v>136</v>
      </c>
      <c r="B8" s="1">
        <v>9000</v>
      </c>
      <c r="C8" s="1" t="s">
        <v>12</v>
      </c>
      <c r="D8" s="1" t="s">
        <v>12</v>
      </c>
      <c r="E8" s="1" t="s">
        <v>12</v>
      </c>
      <c r="F8" s="1" t="s">
        <v>12</v>
      </c>
      <c r="G8" s="1" t="s">
        <v>12</v>
      </c>
      <c r="H8" s="1" t="s">
        <v>12</v>
      </c>
      <c r="I8" s="4">
        <f>I7</f>
        <v>0</v>
      </c>
      <c r="J8" s="6">
        <f>J7</f>
        <v>0</v>
      </c>
      <c r="K8" s="6">
        <f>K7</f>
        <v>0</v>
      </c>
    </row>
  </sheetData>
  <mergeCells count="5">
    <mergeCell ref="A3:A5"/>
    <mergeCell ref="B3:B5"/>
    <mergeCell ref="C3:E3"/>
    <mergeCell ref="F3:H3"/>
    <mergeCell ref="I3:K3"/>
  </mergeCells>
  <pageMargins left="0.7" right="0.7" top="0.75" bottom="0.75" header="0.3" footer="0.3"/>
  <pageSetup paperSize="9" scale="66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E18"/>
  <sheetViews>
    <sheetView view="pageBreakPreview" zoomScaleNormal="100" zoomScaleSheetLayoutView="100" workbookViewId="0">
      <selection activeCell="E14" sqref="E14"/>
    </sheetView>
  </sheetViews>
  <sheetFormatPr defaultColWidth="9.140625" defaultRowHeight="12.75" x14ac:dyDescent="0.2"/>
  <cols>
    <col min="1" max="1" width="43.28515625" style="2" customWidth="1"/>
    <col min="2" max="2" width="9.140625" style="2"/>
    <col min="3" max="5" width="18.5703125" style="2" customWidth="1"/>
    <col min="6" max="16384" width="9.140625" style="2"/>
  </cols>
  <sheetData>
    <row r="1" spans="1:5" ht="31.5" customHeight="1" x14ac:dyDescent="0.2">
      <c r="A1" s="238" t="s">
        <v>167</v>
      </c>
      <c r="B1" s="238"/>
      <c r="C1" s="238"/>
      <c r="D1" s="238"/>
      <c r="E1" s="238"/>
    </row>
    <row r="2" spans="1:5" x14ac:dyDescent="0.2">
      <c r="A2" s="9"/>
      <c r="B2" s="10"/>
      <c r="C2" s="10"/>
      <c r="D2" s="10"/>
      <c r="E2" s="10"/>
    </row>
    <row r="3" spans="1:5" ht="32.25" customHeight="1" x14ac:dyDescent="0.2">
      <c r="A3" s="238" t="s">
        <v>168</v>
      </c>
      <c r="B3" s="238"/>
      <c r="C3" s="238"/>
      <c r="D3" s="238"/>
      <c r="E3" s="238"/>
    </row>
    <row r="5" spans="1:5" x14ac:dyDescent="0.2">
      <c r="A5" s="231" t="s">
        <v>0</v>
      </c>
      <c r="B5" s="231" t="s">
        <v>1</v>
      </c>
      <c r="C5" s="231" t="s">
        <v>116</v>
      </c>
      <c r="D5" s="231"/>
      <c r="E5" s="231"/>
    </row>
    <row r="6" spans="1:5" x14ac:dyDescent="0.2">
      <c r="A6" s="231"/>
      <c r="B6" s="231"/>
      <c r="C6" s="1" t="s">
        <v>4</v>
      </c>
      <c r="D6" s="1" t="s">
        <v>4</v>
      </c>
      <c r="E6" s="1" t="s">
        <v>4</v>
      </c>
    </row>
    <row r="7" spans="1:5" ht="25.5" x14ac:dyDescent="0.2">
      <c r="A7" s="231"/>
      <c r="B7" s="231"/>
      <c r="C7" s="1" t="s">
        <v>79</v>
      </c>
      <c r="D7" s="1" t="s">
        <v>80</v>
      </c>
      <c r="E7" s="1" t="s">
        <v>81</v>
      </c>
    </row>
    <row r="8" spans="1:5" x14ac:dyDescent="0.2">
      <c r="A8" s="1">
        <v>1</v>
      </c>
      <c r="B8" s="1">
        <v>2</v>
      </c>
      <c r="C8" s="1">
        <v>3</v>
      </c>
      <c r="D8" s="1">
        <v>4</v>
      </c>
      <c r="E8" s="1">
        <v>5</v>
      </c>
    </row>
    <row r="9" spans="1:5" ht="25.5" x14ac:dyDescent="0.2">
      <c r="A9" s="4" t="s">
        <v>117</v>
      </c>
      <c r="B9" s="1">
        <v>100</v>
      </c>
      <c r="C9" s="4"/>
      <c r="D9" s="4"/>
      <c r="E9" s="4"/>
    </row>
    <row r="10" spans="1:5" ht="38.25" x14ac:dyDescent="0.2">
      <c r="A10" s="4" t="s">
        <v>160</v>
      </c>
      <c r="B10" s="1">
        <v>200</v>
      </c>
      <c r="C10" s="4"/>
      <c r="D10" s="4"/>
      <c r="E10" s="4"/>
    </row>
    <row r="11" spans="1:5" ht="25.5" x14ac:dyDescent="0.2">
      <c r="A11" s="4" t="s">
        <v>161</v>
      </c>
      <c r="B11" s="1">
        <v>300</v>
      </c>
      <c r="C11" s="4"/>
      <c r="D11" s="4"/>
      <c r="E11" s="4"/>
    </row>
    <row r="12" spans="1:5" x14ac:dyDescent="0.2">
      <c r="A12" s="4" t="s">
        <v>15</v>
      </c>
      <c r="B12" s="231">
        <v>310</v>
      </c>
      <c r="C12" s="232"/>
      <c r="D12" s="232"/>
      <c r="E12" s="232"/>
    </row>
    <row r="13" spans="1:5" x14ac:dyDescent="0.2">
      <c r="A13" s="4" t="s">
        <v>162</v>
      </c>
      <c r="B13" s="231"/>
      <c r="C13" s="232"/>
      <c r="D13" s="232"/>
      <c r="E13" s="232"/>
    </row>
    <row r="14" spans="1:5" x14ac:dyDescent="0.2">
      <c r="A14" s="4" t="s">
        <v>163</v>
      </c>
      <c r="B14" s="1">
        <v>320</v>
      </c>
      <c r="C14" s="4"/>
      <c r="D14" s="4"/>
      <c r="E14" s="4"/>
    </row>
    <row r="15" spans="1:5" x14ac:dyDescent="0.2">
      <c r="A15" s="4" t="s">
        <v>164</v>
      </c>
      <c r="B15" s="1">
        <v>330</v>
      </c>
      <c r="C15" s="4"/>
      <c r="D15" s="4"/>
      <c r="E15" s="4"/>
    </row>
    <row r="16" spans="1:5" ht="25.5" x14ac:dyDescent="0.2">
      <c r="A16" s="4" t="s">
        <v>126</v>
      </c>
      <c r="B16" s="1">
        <v>400</v>
      </c>
      <c r="C16" s="4"/>
      <c r="D16" s="4"/>
      <c r="E16" s="4"/>
    </row>
    <row r="17" spans="1:5" ht="38.25" x14ac:dyDescent="0.2">
      <c r="A17" s="4" t="s">
        <v>165</v>
      </c>
      <c r="B17" s="1">
        <v>500</v>
      </c>
      <c r="C17" s="4"/>
      <c r="D17" s="4"/>
      <c r="E17" s="4"/>
    </row>
    <row r="18" spans="1:5" ht="38.25" x14ac:dyDescent="0.2">
      <c r="A18" s="4" t="s">
        <v>166</v>
      </c>
      <c r="B18" s="1">
        <v>600</v>
      </c>
      <c r="C18" s="4"/>
      <c r="D18" s="4"/>
      <c r="E18" s="4"/>
    </row>
  </sheetData>
  <mergeCells count="9">
    <mergeCell ref="B12:B13"/>
    <mergeCell ref="C12:C13"/>
    <mergeCell ref="D12:D13"/>
    <mergeCell ref="E12:E13"/>
    <mergeCell ref="A1:E1"/>
    <mergeCell ref="A3:E3"/>
    <mergeCell ref="A5:A7"/>
    <mergeCell ref="B5:B7"/>
    <mergeCell ref="C5:E5"/>
  </mergeCells>
  <pageMargins left="0.7" right="0.7" top="0.75" bottom="0.75" header="0.3" footer="0.3"/>
  <pageSetup paperSize="9" scale="8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view="pageBreakPreview" zoomScaleNormal="100" zoomScaleSheetLayoutView="100" workbookViewId="0">
      <selection activeCell="E15" sqref="E15"/>
    </sheetView>
  </sheetViews>
  <sheetFormatPr defaultColWidth="9.140625" defaultRowHeight="12.75" x14ac:dyDescent="0.2"/>
  <cols>
    <col min="1" max="1" width="29.5703125" style="30" customWidth="1"/>
    <col min="2" max="2" width="9.140625" style="30"/>
    <col min="3" max="5" width="24.140625" style="30" customWidth="1"/>
    <col min="6" max="16384" width="9.140625" style="30"/>
  </cols>
  <sheetData>
    <row r="1" spans="1:5" x14ac:dyDescent="0.2">
      <c r="A1" s="242" t="s">
        <v>170</v>
      </c>
      <c r="B1" s="242"/>
      <c r="C1" s="242"/>
      <c r="D1" s="242"/>
      <c r="E1" s="242"/>
    </row>
    <row r="2" spans="1:5" x14ac:dyDescent="0.2">
      <c r="A2" s="73"/>
      <c r="B2" s="73"/>
      <c r="C2" s="73"/>
      <c r="D2" s="73"/>
      <c r="E2" s="73"/>
    </row>
    <row r="3" spans="1:5" x14ac:dyDescent="0.2">
      <c r="A3" s="242" t="s">
        <v>171</v>
      </c>
      <c r="B3" s="242"/>
      <c r="C3" s="242"/>
      <c r="D3" s="242"/>
      <c r="E3" s="242"/>
    </row>
    <row r="6" spans="1:5" x14ac:dyDescent="0.2">
      <c r="A6" s="237" t="s">
        <v>0</v>
      </c>
      <c r="B6" s="237" t="s">
        <v>1</v>
      </c>
      <c r="C6" s="237" t="s">
        <v>116</v>
      </c>
      <c r="D6" s="237"/>
      <c r="E6" s="237"/>
    </row>
    <row r="7" spans="1:5" x14ac:dyDescent="0.2">
      <c r="A7" s="237"/>
      <c r="B7" s="237"/>
      <c r="C7" s="71" t="s">
        <v>353</v>
      </c>
      <c r="D7" s="71" t="s">
        <v>455</v>
      </c>
      <c r="E7" s="71" t="s">
        <v>508</v>
      </c>
    </row>
    <row r="8" spans="1:5" ht="25.5" x14ac:dyDescent="0.2">
      <c r="A8" s="237"/>
      <c r="B8" s="237"/>
      <c r="C8" s="71" t="s">
        <v>79</v>
      </c>
      <c r="D8" s="71" t="s">
        <v>80</v>
      </c>
      <c r="E8" s="71" t="s">
        <v>81</v>
      </c>
    </row>
    <row r="9" spans="1:5" x14ac:dyDescent="0.2">
      <c r="A9" s="71">
        <v>1</v>
      </c>
      <c r="B9" s="71">
        <v>2</v>
      </c>
      <c r="C9" s="71">
        <v>3</v>
      </c>
      <c r="D9" s="71">
        <v>4</v>
      </c>
      <c r="E9" s="71">
        <v>5</v>
      </c>
    </row>
    <row r="10" spans="1:5" ht="38.25" x14ac:dyDescent="0.2">
      <c r="A10" s="31" t="s">
        <v>117</v>
      </c>
      <c r="B10" s="71">
        <v>100</v>
      </c>
      <c r="C10" s="70">
        <v>0</v>
      </c>
      <c r="D10" s="70">
        <v>0</v>
      </c>
      <c r="E10" s="70">
        <v>0</v>
      </c>
    </row>
    <row r="11" spans="1:5" ht="63.75" x14ac:dyDescent="0.2">
      <c r="A11" s="31" t="s">
        <v>118</v>
      </c>
      <c r="B11" s="71">
        <v>200</v>
      </c>
      <c r="C11" s="70">
        <v>0</v>
      </c>
      <c r="D11" s="70">
        <v>0</v>
      </c>
      <c r="E11" s="70">
        <v>0</v>
      </c>
    </row>
    <row r="12" spans="1:5" x14ac:dyDescent="0.2">
      <c r="A12" s="31" t="s">
        <v>169</v>
      </c>
      <c r="B12" s="71">
        <v>300</v>
      </c>
      <c r="C12" s="70">
        <f>C13+C15+C16</f>
        <v>157200</v>
      </c>
      <c r="D12" s="70">
        <f>D13+D15+D16</f>
        <v>157200</v>
      </c>
      <c r="E12" s="70">
        <f>E13+E15+E16</f>
        <v>157200</v>
      </c>
    </row>
    <row r="13" spans="1:5" ht="15" customHeight="1" x14ac:dyDescent="0.2">
      <c r="A13" s="31" t="s">
        <v>15</v>
      </c>
      <c r="B13" s="239">
        <v>310</v>
      </c>
      <c r="C13" s="243">
        <v>0</v>
      </c>
      <c r="D13" s="243">
        <v>0</v>
      </c>
      <c r="E13" s="243">
        <v>0</v>
      </c>
    </row>
    <row r="14" spans="1:5" x14ac:dyDescent="0.2">
      <c r="A14" s="31" t="s">
        <v>27</v>
      </c>
      <c r="B14" s="240"/>
      <c r="C14" s="244"/>
      <c r="D14" s="244"/>
      <c r="E14" s="244"/>
    </row>
    <row r="15" spans="1:5" x14ac:dyDescent="0.2">
      <c r="A15" s="31" t="s">
        <v>505</v>
      </c>
      <c r="B15" s="240"/>
      <c r="C15" s="70">
        <f>'3.13.1'!E13+'3.13.1'!G13</f>
        <v>0</v>
      </c>
      <c r="D15" s="70">
        <f>'3.13.1'!F37+'3.13.1'!E37+'3.13.1'!G37</f>
        <v>0</v>
      </c>
      <c r="E15" s="70">
        <f>'3.13.1'!E61+'3.13.1'!F61+'3.13.1'!G61</f>
        <v>0</v>
      </c>
    </row>
    <row r="16" spans="1:5" x14ac:dyDescent="0.2">
      <c r="A16" s="31" t="s">
        <v>506</v>
      </c>
      <c r="B16" s="241"/>
      <c r="C16" s="70">
        <f>'3.13.1'!K13+'3.13.1'!H13+'3.13.1'!F13</f>
        <v>157200</v>
      </c>
      <c r="D16" s="70">
        <f>'3.13.1'!H37+'3.13.1'!K37</f>
        <v>157200</v>
      </c>
      <c r="E16" s="70">
        <f>'3.13.1'!H61+'3.13.1'!K61</f>
        <v>157200</v>
      </c>
    </row>
    <row r="17" spans="1:9" ht="25.5" x14ac:dyDescent="0.2">
      <c r="A17" s="31" t="s">
        <v>28</v>
      </c>
      <c r="B17" s="71">
        <v>320</v>
      </c>
      <c r="C17" s="70">
        <v>0</v>
      </c>
      <c r="D17" s="70">
        <v>0</v>
      </c>
      <c r="E17" s="70">
        <v>0</v>
      </c>
    </row>
    <row r="18" spans="1:9" ht="38.25" x14ac:dyDescent="0.2">
      <c r="A18" s="31" t="s">
        <v>126</v>
      </c>
      <c r="B18" s="71">
        <v>400</v>
      </c>
      <c r="C18" s="70">
        <v>0</v>
      </c>
      <c r="D18" s="70">
        <v>0</v>
      </c>
      <c r="E18" s="70">
        <v>0</v>
      </c>
      <c r="I18" s="74"/>
    </row>
    <row r="19" spans="1:9" ht="63.75" x14ac:dyDescent="0.2">
      <c r="A19" s="31" t="s">
        <v>127</v>
      </c>
      <c r="B19" s="71">
        <v>500</v>
      </c>
      <c r="C19" s="70">
        <v>0</v>
      </c>
      <c r="D19" s="70">
        <v>0</v>
      </c>
      <c r="E19" s="70">
        <v>0</v>
      </c>
    </row>
    <row r="20" spans="1:9" ht="63.75" x14ac:dyDescent="0.2">
      <c r="A20" s="31" t="s">
        <v>148</v>
      </c>
      <c r="B20" s="71">
        <v>600</v>
      </c>
      <c r="C20" s="70">
        <f>C10-C11+C12-C18+C19</f>
        <v>157200</v>
      </c>
      <c r="D20" s="70">
        <f>D10-D11+D12-D18+D19</f>
        <v>157200</v>
      </c>
      <c r="E20" s="70">
        <f>E10-E11+E12-E18+E19</f>
        <v>157200</v>
      </c>
    </row>
  </sheetData>
  <mergeCells count="9">
    <mergeCell ref="B13:B16"/>
    <mergeCell ref="A1:E1"/>
    <mergeCell ref="A3:E3"/>
    <mergeCell ref="A6:A8"/>
    <mergeCell ref="B6:B8"/>
    <mergeCell ref="C6:E6"/>
    <mergeCell ref="C13:C14"/>
    <mergeCell ref="D13:D14"/>
    <mergeCell ref="E13:E14"/>
  </mergeCells>
  <pageMargins left="0.7" right="0.7" top="0.75" bottom="0.75" header="0.3" footer="0.3"/>
  <pageSetup paperSize="9" scale="78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E17"/>
  <sheetViews>
    <sheetView view="pageBreakPreview" zoomScaleNormal="100" zoomScaleSheetLayoutView="100" workbookViewId="0">
      <selection activeCell="D9" sqref="D9"/>
    </sheetView>
  </sheetViews>
  <sheetFormatPr defaultColWidth="9.140625" defaultRowHeight="12.75" x14ac:dyDescent="0.2"/>
  <cols>
    <col min="1" max="1" width="27.85546875" style="2" customWidth="1"/>
    <col min="2" max="2" width="9.140625" style="2"/>
    <col min="3" max="5" width="18.7109375" style="2" customWidth="1"/>
    <col min="6" max="16384" width="9.140625" style="2"/>
  </cols>
  <sheetData>
    <row r="1" spans="1:5" x14ac:dyDescent="0.2">
      <c r="A1" s="245" t="s">
        <v>175</v>
      </c>
      <c r="B1" s="245"/>
      <c r="C1" s="245"/>
      <c r="D1" s="245"/>
      <c r="E1" s="245"/>
    </row>
    <row r="2" spans="1:5" x14ac:dyDescent="0.2">
      <c r="A2" s="10"/>
      <c r="B2" s="10"/>
      <c r="C2" s="10"/>
      <c r="D2" s="10"/>
      <c r="E2" s="10"/>
    </row>
    <row r="3" spans="1:5" x14ac:dyDescent="0.2">
      <c r="A3" s="245" t="s">
        <v>176</v>
      </c>
      <c r="B3" s="245"/>
      <c r="C3" s="245"/>
      <c r="D3" s="245"/>
      <c r="E3" s="245"/>
    </row>
    <row r="5" spans="1:5" x14ac:dyDescent="0.2">
      <c r="A5" s="231" t="s">
        <v>0</v>
      </c>
      <c r="B5" s="231" t="s">
        <v>1</v>
      </c>
      <c r="C5" s="231" t="s">
        <v>116</v>
      </c>
      <c r="D5" s="231"/>
      <c r="E5" s="231"/>
    </row>
    <row r="6" spans="1:5" x14ac:dyDescent="0.2">
      <c r="A6" s="231"/>
      <c r="B6" s="231"/>
      <c r="C6" s="1" t="s">
        <v>4</v>
      </c>
      <c r="D6" s="1" t="s">
        <v>4</v>
      </c>
      <c r="E6" s="1" t="s">
        <v>4</v>
      </c>
    </row>
    <row r="7" spans="1:5" ht="25.5" x14ac:dyDescent="0.2">
      <c r="A7" s="231"/>
      <c r="B7" s="231"/>
      <c r="C7" s="1" t="s">
        <v>79</v>
      </c>
      <c r="D7" s="1" t="s">
        <v>80</v>
      </c>
      <c r="E7" s="1" t="s">
        <v>81</v>
      </c>
    </row>
    <row r="8" spans="1:5" x14ac:dyDescent="0.2">
      <c r="A8" s="1">
        <v>1</v>
      </c>
      <c r="B8" s="1">
        <v>2</v>
      </c>
      <c r="C8" s="1">
        <v>3</v>
      </c>
      <c r="D8" s="1">
        <v>4</v>
      </c>
      <c r="E8" s="1">
        <v>5</v>
      </c>
    </row>
    <row r="9" spans="1:5" ht="38.25" x14ac:dyDescent="0.2">
      <c r="A9" s="4" t="s">
        <v>117</v>
      </c>
      <c r="B9" s="1">
        <v>100</v>
      </c>
      <c r="C9" s="4"/>
      <c r="D9" s="4"/>
      <c r="E9" s="4"/>
    </row>
    <row r="10" spans="1:5" ht="63.75" x14ac:dyDescent="0.2">
      <c r="A10" s="4" t="s">
        <v>118</v>
      </c>
      <c r="B10" s="1">
        <v>200</v>
      </c>
      <c r="C10" s="4"/>
      <c r="D10" s="4"/>
      <c r="E10" s="4"/>
    </row>
    <row r="11" spans="1:5" ht="25.5" x14ac:dyDescent="0.2">
      <c r="A11" s="4" t="s">
        <v>172</v>
      </c>
      <c r="B11" s="1">
        <v>300</v>
      </c>
      <c r="C11" s="4"/>
      <c r="D11" s="4"/>
      <c r="E11" s="4"/>
    </row>
    <row r="12" spans="1:5" x14ac:dyDescent="0.2">
      <c r="A12" s="4" t="s">
        <v>15</v>
      </c>
      <c r="B12" s="231">
        <v>310</v>
      </c>
      <c r="C12" s="232"/>
      <c r="D12" s="232"/>
      <c r="E12" s="232"/>
    </row>
    <row r="13" spans="1:5" ht="25.5" x14ac:dyDescent="0.2">
      <c r="A13" s="4" t="s">
        <v>173</v>
      </c>
      <c r="B13" s="231"/>
      <c r="C13" s="232"/>
      <c r="D13" s="232"/>
      <c r="E13" s="232"/>
    </row>
    <row r="14" spans="1:5" ht="25.5" x14ac:dyDescent="0.2">
      <c r="A14" s="4" t="s">
        <v>174</v>
      </c>
      <c r="B14" s="1">
        <v>320</v>
      </c>
      <c r="C14" s="4"/>
      <c r="D14" s="4"/>
      <c r="E14" s="4"/>
    </row>
    <row r="15" spans="1:5" ht="38.25" x14ac:dyDescent="0.2">
      <c r="A15" s="4" t="s">
        <v>126</v>
      </c>
      <c r="B15" s="1">
        <v>400</v>
      </c>
      <c r="C15" s="4"/>
      <c r="D15" s="4"/>
      <c r="E15" s="4"/>
    </row>
    <row r="16" spans="1:5" ht="63.75" x14ac:dyDescent="0.2">
      <c r="A16" s="4" t="s">
        <v>127</v>
      </c>
      <c r="B16" s="1">
        <v>500</v>
      </c>
      <c r="C16" s="4"/>
      <c r="D16" s="4"/>
      <c r="E16" s="4"/>
    </row>
    <row r="17" spans="1:5" ht="63.75" x14ac:dyDescent="0.2">
      <c r="A17" s="4" t="s">
        <v>148</v>
      </c>
      <c r="B17" s="1">
        <v>600</v>
      </c>
      <c r="C17" s="4"/>
      <c r="D17" s="4"/>
      <c r="E17" s="4"/>
    </row>
  </sheetData>
  <mergeCells count="9">
    <mergeCell ref="B12:B13"/>
    <mergeCell ref="C12:C13"/>
    <mergeCell ref="D12:D13"/>
    <mergeCell ref="E12:E13"/>
    <mergeCell ref="A1:E1"/>
    <mergeCell ref="A3:E3"/>
    <mergeCell ref="A5:A7"/>
    <mergeCell ref="B5:B7"/>
    <mergeCell ref="C5:E5"/>
  </mergeCells>
  <pageMargins left="0.7" right="0.7" top="0.75" bottom="0.75" header="0.3" footer="0.3"/>
  <pageSetup paperSize="9" scale="93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E16"/>
  <sheetViews>
    <sheetView view="pageBreakPreview" zoomScaleNormal="100" zoomScaleSheetLayoutView="100" workbookViewId="0">
      <selection activeCell="E11" sqref="E11"/>
    </sheetView>
  </sheetViews>
  <sheetFormatPr defaultColWidth="9.140625" defaultRowHeight="12.75" x14ac:dyDescent="0.2"/>
  <cols>
    <col min="1" max="1" width="32.28515625" style="30" customWidth="1"/>
    <col min="2" max="2" width="9.140625" style="30"/>
    <col min="3" max="5" width="21.42578125" style="30" customWidth="1"/>
    <col min="6" max="16384" width="9.140625" style="30"/>
  </cols>
  <sheetData>
    <row r="1" spans="1:5" x14ac:dyDescent="0.2">
      <c r="A1" s="246" t="s">
        <v>183</v>
      </c>
      <c r="B1" s="246"/>
      <c r="C1" s="246"/>
      <c r="D1" s="246"/>
      <c r="E1" s="246"/>
    </row>
    <row r="2" spans="1:5" x14ac:dyDescent="0.2">
      <c r="A2" s="75"/>
      <c r="B2" s="75"/>
      <c r="C2" s="75"/>
      <c r="D2" s="75"/>
      <c r="E2" s="75"/>
    </row>
    <row r="3" spans="1:5" ht="30.75" customHeight="1" x14ac:dyDescent="0.2">
      <c r="A3" s="246" t="s">
        <v>184</v>
      </c>
      <c r="B3" s="246"/>
      <c r="C3" s="246"/>
      <c r="D3" s="246"/>
      <c r="E3" s="246"/>
    </row>
    <row r="5" spans="1:5" x14ac:dyDescent="0.2">
      <c r="A5" s="237" t="s">
        <v>0</v>
      </c>
      <c r="B5" s="237" t="s">
        <v>1</v>
      </c>
      <c r="C5" s="237" t="s">
        <v>116</v>
      </c>
      <c r="D5" s="237"/>
      <c r="E5" s="237"/>
    </row>
    <row r="6" spans="1:5" x14ac:dyDescent="0.2">
      <c r="A6" s="237"/>
      <c r="B6" s="237"/>
      <c r="C6" s="71" t="s">
        <v>353</v>
      </c>
      <c r="D6" s="71" t="s">
        <v>455</v>
      </c>
      <c r="E6" s="71" t="s">
        <v>508</v>
      </c>
    </row>
    <row r="7" spans="1:5" ht="25.5" x14ac:dyDescent="0.2">
      <c r="A7" s="237"/>
      <c r="B7" s="237"/>
      <c r="C7" s="71" t="s">
        <v>79</v>
      </c>
      <c r="D7" s="71" t="s">
        <v>80</v>
      </c>
      <c r="E7" s="71" t="s">
        <v>81</v>
      </c>
    </row>
    <row r="8" spans="1:5" x14ac:dyDescent="0.2">
      <c r="A8" s="71">
        <v>1</v>
      </c>
      <c r="B8" s="71">
        <v>2</v>
      </c>
      <c r="C8" s="71">
        <v>3</v>
      </c>
      <c r="D8" s="71">
        <v>4</v>
      </c>
      <c r="E8" s="71">
        <v>5</v>
      </c>
    </row>
    <row r="9" spans="1:5" ht="38.25" x14ac:dyDescent="0.2">
      <c r="A9" s="31" t="s">
        <v>177</v>
      </c>
      <c r="B9" s="71">
        <v>100</v>
      </c>
      <c r="C9" s="31"/>
      <c r="D9" s="31"/>
      <c r="E9" s="31"/>
    </row>
    <row r="10" spans="1:5" ht="38.25" x14ac:dyDescent="0.2">
      <c r="A10" s="31" t="s">
        <v>178</v>
      </c>
      <c r="B10" s="71">
        <v>200</v>
      </c>
      <c r="C10" s="31"/>
      <c r="D10" s="31"/>
      <c r="E10" s="31"/>
    </row>
    <row r="11" spans="1:5" x14ac:dyDescent="0.2">
      <c r="A11" s="31" t="s">
        <v>179</v>
      </c>
      <c r="B11" s="71">
        <v>300</v>
      </c>
      <c r="C11" s="70">
        <f>C12+C13</f>
        <v>23006343.400000002</v>
      </c>
      <c r="D11" s="70">
        <f>D12+D13</f>
        <v>23006343.400000002</v>
      </c>
      <c r="E11" s="70">
        <f>E12+E13</f>
        <v>22866301.400000002</v>
      </c>
    </row>
    <row r="12" spans="1:5" x14ac:dyDescent="0.2">
      <c r="A12" s="76" t="s">
        <v>308</v>
      </c>
      <c r="B12" s="71"/>
      <c r="C12" s="70">
        <f>'3.6.3(211)'!L16+'3.6.3(211)'!N35+'3.6.3(211)'!N43+'3.6.3(211)'!M64+'3.6.3(211)'!M72</f>
        <v>22193243.800000001</v>
      </c>
      <c r="D12" s="70">
        <f>'3.6.4'!L16+'3.6.4'!N35+'3.6.4'!M56</f>
        <v>22193243.800000001</v>
      </c>
      <c r="E12" s="70">
        <f>'3.6.5'!L16+'3.6.5'!N35+'3.6.5'!M56</f>
        <v>22053201.800000001</v>
      </c>
    </row>
    <row r="13" spans="1:5" ht="25.5" x14ac:dyDescent="0.2">
      <c r="A13" s="76" t="s">
        <v>309</v>
      </c>
      <c r="B13" s="71"/>
      <c r="C13" s="146">
        <f>'3.6.3(211)'!D87</f>
        <v>813099.6</v>
      </c>
      <c r="D13" s="146">
        <f>'3.6.4'!D72</f>
        <v>813099.6</v>
      </c>
      <c r="E13" s="146">
        <f>'3.6.5'!D72</f>
        <v>813099.6</v>
      </c>
    </row>
    <row r="14" spans="1:5" ht="38.25" x14ac:dyDescent="0.2">
      <c r="A14" s="31" t="s">
        <v>180</v>
      </c>
      <c r="B14" s="71">
        <v>400</v>
      </c>
      <c r="C14" s="31"/>
      <c r="D14" s="31"/>
      <c r="E14" s="31"/>
    </row>
    <row r="15" spans="1:5" ht="38.25" x14ac:dyDescent="0.2">
      <c r="A15" s="31" t="s">
        <v>181</v>
      </c>
      <c r="B15" s="71">
        <v>500</v>
      </c>
      <c r="C15" s="31"/>
      <c r="D15" s="31"/>
      <c r="E15" s="31"/>
    </row>
    <row r="16" spans="1:5" ht="38.25" x14ac:dyDescent="0.2">
      <c r="A16" s="31" t="s">
        <v>182</v>
      </c>
      <c r="B16" s="71">
        <v>600</v>
      </c>
      <c r="C16" s="70">
        <f>C9-C10+C11-C14+C15</f>
        <v>23006343.400000002</v>
      </c>
      <c r="D16" s="70">
        <f>D9-D10+D11-D14+D15</f>
        <v>23006343.400000002</v>
      </c>
      <c r="E16" s="70">
        <f>E9-E10+E11-E14+E15</f>
        <v>22866301.400000002</v>
      </c>
    </row>
  </sheetData>
  <mergeCells count="5">
    <mergeCell ref="A5:A7"/>
    <mergeCell ref="B5:B7"/>
    <mergeCell ref="C5:E5"/>
    <mergeCell ref="A1:E1"/>
    <mergeCell ref="A3:E3"/>
  </mergeCells>
  <pageMargins left="0.7" right="0.7" top="0.75" bottom="0.75" header="0.3" footer="0.3"/>
  <pageSetup paperSize="9" scale="82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A1:R88"/>
  <sheetViews>
    <sheetView view="pageBreakPreview" zoomScaleNormal="100" zoomScaleSheetLayoutView="100" workbookViewId="0">
      <selection sqref="A1:XFD1048576"/>
    </sheetView>
  </sheetViews>
  <sheetFormatPr defaultColWidth="9.140625" defaultRowHeight="12.75" x14ac:dyDescent="0.2"/>
  <cols>
    <col min="1" max="1" width="19.85546875" style="30" customWidth="1"/>
    <col min="2" max="3" width="9.140625" style="30"/>
    <col min="4" max="13" width="13" style="30" customWidth="1"/>
    <col min="14" max="14" width="14.85546875" style="30" customWidth="1"/>
    <col min="15" max="15" width="21.28515625" style="30" customWidth="1"/>
    <col min="16" max="16" width="16.28515625" style="30" customWidth="1"/>
    <col min="17" max="16384" width="9.140625" style="30"/>
  </cols>
  <sheetData>
    <row r="1" spans="1:17" ht="31.5" customHeight="1" x14ac:dyDescent="0.2">
      <c r="A1" s="246" t="s">
        <v>510</v>
      </c>
      <c r="B1" s="246"/>
      <c r="C1" s="246"/>
      <c r="D1" s="246"/>
      <c r="E1" s="246"/>
      <c r="F1" s="246"/>
      <c r="G1" s="246"/>
      <c r="H1" s="246"/>
      <c r="I1" s="246"/>
      <c r="J1" s="246"/>
      <c r="K1" s="246"/>
      <c r="L1" s="246"/>
      <c r="M1" s="246"/>
      <c r="N1" s="246"/>
    </row>
    <row r="3" spans="1:17" x14ac:dyDescent="0.2">
      <c r="A3" s="30" t="str">
        <f>'3.13.1'!D9</f>
        <v>0701 0210080610 621</v>
      </c>
      <c r="M3" s="140"/>
      <c r="N3" s="140"/>
    </row>
    <row r="4" spans="1:17" ht="12.75" customHeight="1" x14ac:dyDescent="0.2">
      <c r="A4" s="237" t="s">
        <v>185</v>
      </c>
      <c r="B4" s="237" t="s">
        <v>1</v>
      </c>
      <c r="C4" s="237" t="s">
        <v>186</v>
      </c>
      <c r="D4" s="237" t="s">
        <v>187</v>
      </c>
      <c r="E4" s="237"/>
      <c r="F4" s="237"/>
      <c r="G4" s="237"/>
      <c r="H4" s="237"/>
      <c r="I4" s="237"/>
      <c r="J4" s="237"/>
      <c r="K4" s="237"/>
      <c r="L4" s="237" t="s">
        <v>188</v>
      </c>
      <c r="M4" s="133"/>
      <c r="N4" s="140"/>
    </row>
    <row r="5" spans="1:17" x14ac:dyDescent="0.2">
      <c r="A5" s="237"/>
      <c r="B5" s="237"/>
      <c r="C5" s="237"/>
      <c r="D5" s="237" t="s">
        <v>189</v>
      </c>
      <c r="E5" s="237" t="s">
        <v>15</v>
      </c>
      <c r="F5" s="237"/>
      <c r="G5" s="237"/>
      <c r="H5" s="237"/>
      <c r="I5" s="237"/>
      <c r="J5" s="237"/>
      <c r="K5" s="237"/>
      <c r="L5" s="237"/>
      <c r="M5" s="133"/>
      <c r="N5" s="140"/>
    </row>
    <row r="6" spans="1:17" ht="12.75" customHeight="1" x14ac:dyDescent="0.2">
      <c r="A6" s="237"/>
      <c r="B6" s="237"/>
      <c r="C6" s="237"/>
      <c r="D6" s="237"/>
      <c r="E6" s="237" t="s">
        <v>190</v>
      </c>
      <c r="F6" s="237" t="s">
        <v>191</v>
      </c>
      <c r="G6" s="237" t="s">
        <v>431</v>
      </c>
      <c r="H6" s="104" t="s">
        <v>193</v>
      </c>
      <c r="I6" s="104"/>
      <c r="J6" s="237" t="s">
        <v>194</v>
      </c>
      <c r="K6" s="237"/>
      <c r="L6" s="237"/>
      <c r="M6" s="140"/>
      <c r="N6" s="140"/>
    </row>
    <row r="7" spans="1:17" ht="38.25" x14ac:dyDescent="0.2">
      <c r="A7" s="237"/>
      <c r="B7" s="237"/>
      <c r="C7" s="237"/>
      <c r="D7" s="237"/>
      <c r="E7" s="237"/>
      <c r="F7" s="237"/>
      <c r="G7" s="237"/>
      <c r="H7" s="104" t="s">
        <v>195</v>
      </c>
      <c r="I7" s="104" t="s">
        <v>196</v>
      </c>
      <c r="J7" s="104" t="s">
        <v>195</v>
      </c>
      <c r="K7" s="104" t="s">
        <v>197</v>
      </c>
      <c r="L7" s="237"/>
      <c r="M7" s="140"/>
      <c r="N7" s="140"/>
    </row>
    <row r="8" spans="1:17" x14ac:dyDescent="0.2">
      <c r="A8" s="104">
        <v>1</v>
      </c>
      <c r="B8" s="104">
        <v>2</v>
      </c>
      <c r="C8" s="104">
        <v>3</v>
      </c>
      <c r="D8" s="104">
        <v>4</v>
      </c>
      <c r="E8" s="104">
        <v>5</v>
      </c>
      <c r="F8" s="104">
        <v>6</v>
      </c>
      <c r="G8" s="104">
        <v>7</v>
      </c>
      <c r="H8" s="104">
        <v>8</v>
      </c>
      <c r="I8" s="104">
        <v>9</v>
      </c>
      <c r="J8" s="104">
        <v>10</v>
      </c>
      <c r="K8" s="104">
        <v>11</v>
      </c>
      <c r="L8" s="104">
        <v>12</v>
      </c>
      <c r="O8" s="111" t="s">
        <v>384</v>
      </c>
      <c r="P8" s="116">
        <v>2160200</v>
      </c>
    </row>
    <row r="9" spans="1:17" x14ac:dyDescent="0.2">
      <c r="A9" s="171" t="s">
        <v>379</v>
      </c>
      <c r="B9" s="104">
        <v>1</v>
      </c>
      <c r="C9" s="167">
        <v>0.5</v>
      </c>
      <c r="D9" s="77">
        <f t="shared" ref="D9:D14" si="0">(C9*E9)+F9+G9+I9+K9</f>
        <v>2629.9520000000002</v>
      </c>
      <c r="E9" s="172">
        <v>3016</v>
      </c>
      <c r="F9" s="77">
        <v>60.32</v>
      </c>
      <c r="G9" s="77">
        <v>75.400000000000006</v>
      </c>
      <c r="H9" s="41">
        <v>30</v>
      </c>
      <c r="I9" s="77">
        <f>((C9*E9)+F9+G9)*30/100</f>
        <v>493.11599999999999</v>
      </c>
      <c r="J9" s="41">
        <v>30</v>
      </c>
      <c r="K9" s="77">
        <f>I9</f>
        <v>493.11599999999999</v>
      </c>
      <c r="L9" s="77">
        <f t="shared" ref="L9:L15" si="1">D9*12</f>
        <v>31559.424000000003</v>
      </c>
      <c r="O9" s="111" t="s">
        <v>387</v>
      </c>
      <c r="P9" s="116">
        <f>P8/12</f>
        <v>180016.66666666666</v>
      </c>
    </row>
    <row r="10" spans="1:17" x14ac:dyDescent="0.2">
      <c r="A10" s="171" t="s">
        <v>380</v>
      </c>
      <c r="B10" s="104">
        <f t="shared" ref="B10:B15" si="2">B9+1</f>
        <v>2</v>
      </c>
      <c r="C10" s="167">
        <v>1</v>
      </c>
      <c r="D10" s="77">
        <f t="shared" si="0"/>
        <v>6707.5840000000007</v>
      </c>
      <c r="E10" s="172">
        <v>3016</v>
      </c>
      <c r="F10" s="77">
        <v>120.64</v>
      </c>
      <c r="G10" s="77">
        <v>1055.5999999999999</v>
      </c>
      <c r="H10" s="41">
        <v>30</v>
      </c>
      <c r="I10" s="77">
        <f t="shared" ref="I10:I15" si="3">((C10*E10)+F10+G10)*30/100</f>
        <v>1257.672</v>
      </c>
      <c r="J10" s="41">
        <v>30</v>
      </c>
      <c r="K10" s="77">
        <f>I10</f>
        <v>1257.672</v>
      </c>
      <c r="L10" s="77">
        <f t="shared" si="1"/>
        <v>80491.008000000002</v>
      </c>
      <c r="O10" s="111" t="s">
        <v>385</v>
      </c>
      <c r="P10" s="116">
        <f>D9+D10+D11+D12+D13+D14</f>
        <v>67616.127999999982</v>
      </c>
    </row>
    <row r="11" spans="1:17" x14ac:dyDescent="0.2">
      <c r="A11" s="171" t="s">
        <v>381</v>
      </c>
      <c r="B11" s="104">
        <f t="shared" si="2"/>
        <v>3</v>
      </c>
      <c r="C11" s="167">
        <v>3</v>
      </c>
      <c r="D11" s="77">
        <f t="shared" si="0"/>
        <v>23987.151999999998</v>
      </c>
      <c r="E11" s="172">
        <v>3511</v>
      </c>
      <c r="F11" s="77">
        <v>421.32</v>
      </c>
      <c r="G11" s="77">
        <v>4037.65</v>
      </c>
      <c r="H11" s="41">
        <v>30</v>
      </c>
      <c r="I11" s="77">
        <f t="shared" si="3"/>
        <v>4497.5909999999994</v>
      </c>
      <c r="J11" s="41">
        <v>30</v>
      </c>
      <c r="K11" s="77">
        <f>I11</f>
        <v>4497.5909999999994</v>
      </c>
      <c r="L11" s="77">
        <f t="shared" si="1"/>
        <v>287845.82399999996</v>
      </c>
      <c r="O11" s="111" t="s">
        <v>386</v>
      </c>
      <c r="P11" s="116">
        <f>P9-P10</f>
        <v>112400.53866666667</v>
      </c>
    </row>
    <row r="12" spans="1:17" ht="25.5" x14ac:dyDescent="0.2">
      <c r="A12" s="171" t="s">
        <v>382</v>
      </c>
      <c r="B12" s="104">
        <f t="shared" si="2"/>
        <v>4</v>
      </c>
      <c r="C12" s="167">
        <v>3</v>
      </c>
      <c r="D12" s="77">
        <f t="shared" si="0"/>
        <v>16262.271999999999</v>
      </c>
      <c r="E12" s="172">
        <v>3016</v>
      </c>
      <c r="F12" s="77">
        <v>361.92</v>
      </c>
      <c r="G12" s="77">
        <v>754</v>
      </c>
      <c r="H12" s="41">
        <v>30</v>
      </c>
      <c r="I12" s="77">
        <f t="shared" si="3"/>
        <v>3049.1759999999999</v>
      </c>
      <c r="J12" s="41">
        <v>30</v>
      </c>
      <c r="K12" s="77">
        <f>I12</f>
        <v>3049.1759999999999</v>
      </c>
      <c r="L12" s="77">
        <f t="shared" si="1"/>
        <v>195147.264</v>
      </c>
    </row>
    <row r="13" spans="1:17" x14ac:dyDescent="0.2">
      <c r="A13" s="173" t="s">
        <v>383</v>
      </c>
      <c r="B13" s="104">
        <f t="shared" si="2"/>
        <v>5</v>
      </c>
      <c r="C13" s="167">
        <v>1</v>
      </c>
      <c r="D13" s="77">
        <f>(C13*E13)+F13+G13+I13+K13</f>
        <v>11966.975999999999</v>
      </c>
      <c r="E13" s="172">
        <v>4704</v>
      </c>
      <c r="F13" s="77">
        <v>188.16</v>
      </c>
      <c r="G13" s="77">
        <v>2587.1999999999998</v>
      </c>
      <c r="H13" s="41">
        <v>30</v>
      </c>
      <c r="I13" s="77">
        <f t="shared" si="3"/>
        <v>2243.808</v>
      </c>
      <c r="J13" s="41">
        <v>30</v>
      </c>
      <c r="K13" s="77">
        <f>I13</f>
        <v>2243.808</v>
      </c>
      <c r="L13" s="77">
        <f t="shared" si="1"/>
        <v>143603.712</v>
      </c>
    </row>
    <row r="14" spans="1:17" x14ac:dyDescent="0.2">
      <c r="A14" s="173" t="s">
        <v>286</v>
      </c>
      <c r="B14" s="104">
        <f t="shared" si="2"/>
        <v>6</v>
      </c>
      <c r="C14" s="167"/>
      <c r="D14" s="77">
        <f t="shared" si="0"/>
        <v>6062.192</v>
      </c>
      <c r="E14" s="172"/>
      <c r="F14" s="77"/>
      <c r="G14" s="77">
        <v>3788.87</v>
      </c>
      <c r="H14" s="41">
        <v>30</v>
      </c>
      <c r="I14" s="77">
        <f t="shared" si="3"/>
        <v>1136.6609999999998</v>
      </c>
      <c r="J14" s="41">
        <v>30</v>
      </c>
      <c r="K14" s="77">
        <f>((C14*E14)+F14+G14)*J14/100</f>
        <v>1136.6609999999998</v>
      </c>
      <c r="L14" s="77">
        <f t="shared" si="1"/>
        <v>72746.304000000004</v>
      </c>
    </row>
    <row r="15" spans="1:17" x14ac:dyDescent="0.2">
      <c r="A15" s="173" t="s">
        <v>285</v>
      </c>
      <c r="B15" s="104">
        <f t="shared" si="2"/>
        <v>7</v>
      </c>
      <c r="C15" s="167"/>
      <c r="D15" s="77">
        <f>(C15*E15)+F15+G15+I15+K15</f>
        <v>112400.53866666666</v>
      </c>
      <c r="E15" s="172"/>
      <c r="F15" s="77"/>
      <c r="G15" s="77">
        <f>P11/1.6</f>
        <v>70250.33666666667</v>
      </c>
      <c r="H15" s="41">
        <v>30</v>
      </c>
      <c r="I15" s="77">
        <f t="shared" si="3"/>
        <v>21075.101000000002</v>
      </c>
      <c r="J15" s="41">
        <v>30</v>
      </c>
      <c r="K15" s="77">
        <f>((C15*E15)+F15+G15)*J15/100</f>
        <v>21075.101000000002</v>
      </c>
      <c r="L15" s="77">
        <f t="shared" si="1"/>
        <v>1348806.4639999999</v>
      </c>
      <c r="O15" s="162" t="s">
        <v>434</v>
      </c>
      <c r="P15" s="162" t="s">
        <v>435</v>
      </c>
    </row>
    <row r="16" spans="1:17" x14ac:dyDescent="0.2">
      <c r="A16" s="31" t="s">
        <v>136</v>
      </c>
      <c r="B16" s="104">
        <v>9000</v>
      </c>
      <c r="C16" s="104" t="s">
        <v>12</v>
      </c>
      <c r="D16" s="77">
        <f>SUM(D9:D15)</f>
        <v>180016.66666666663</v>
      </c>
      <c r="E16" s="172"/>
      <c r="F16" s="77">
        <f>SUM(F9:F15)</f>
        <v>1152.3600000000001</v>
      </c>
      <c r="G16" s="77">
        <f>SUM(G9:G15)</f>
        <v>82549.056666666671</v>
      </c>
      <c r="H16" s="77"/>
      <c r="I16" s="77">
        <f>SUM(I9:I15)</f>
        <v>33753.125</v>
      </c>
      <c r="J16" s="77"/>
      <c r="K16" s="77">
        <f>SUM(K9:K15)</f>
        <v>33753.125</v>
      </c>
      <c r="L16" s="78">
        <f>SUM(L9:L15)</f>
        <v>2160200</v>
      </c>
      <c r="O16" s="162">
        <v>0</v>
      </c>
      <c r="P16" s="185">
        <f>L16-O16</f>
        <v>2160200</v>
      </c>
      <c r="Q16" s="139"/>
    </row>
    <row r="18" spans="1:16" x14ac:dyDescent="0.2">
      <c r="A18" s="30" t="str">
        <f>'3.13.1'!I9</f>
        <v>0701 0210075880 621</v>
      </c>
    </row>
    <row r="19" spans="1:16" x14ac:dyDescent="0.2">
      <c r="A19" s="237" t="s">
        <v>185</v>
      </c>
      <c r="B19" s="237" t="s">
        <v>1</v>
      </c>
      <c r="C19" s="237" t="s">
        <v>186</v>
      </c>
      <c r="D19" s="237" t="s">
        <v>187</v>
      </c>
      <c r="E19" s="237"/>
      <c r="F19" s="237"/>
      <c r="G19" s="237"/>
      <c r="H19" s="237"/>
      <c r="I19" s="237"/>
      <c r="J19" s="237"/>
      <c r="K19" s="237"/>
      <c r="L19" s="237"/>
      <c r="M19" s="237"/>
      <c r="N19" s="237" t="s">
        <v>188</v>
      </c>
    </row>
    <row r="20" spans="1:16" x14ac:dyDescent="0.2">
      <c r="A20" s="237"/>
      <c r="B20" s="237"/>
      <c r="C20" s="237"/>
      <c r="D20" s="237" t="s">
        <v>189</v>
      </c>
      <c r="E20" s="237" t="s">
        <v>15</v>
      </c>
      <c r="F20" s="237"/>
      <c r="G20" s="237"/>
      <c r="H20" s="237"/>
      <c r="I20" s="237"/>
      <c r="J20" s="237"/>
      <c r="K20" s="237"/>
      <c r="L20" s="237"/>
      <c r="M20" s="237"/>
      <c r="N20" s="237"/>
    </row>
    <row r="21" spans="1:16" x14ac:dyDescent="0.2">
      <c r="A21" s="237"/>
      <c r="B21" s="237"/>
      <c r="C21" s="237"/>
      <c r="D21" s="237"/>
      <c r="E21" s="237" t="s">
        <v>190</v>
      </c>
      <c r="F21" s="237" t="s">
        <v>191</v>
      </c>
      <c r="G21" s="237" t="s">
        <v>431</v>
      </c>
      <c r="H21" s="239" t="s">
        <v>396</v>
      </c>
      <c r="I21" s="239" t="s">
        <v>397</v>
      </c>
      <c r="J21" s="237" t="s">
        <v>193</v>
      </c>
      <c r="K21" s="237"/>
      <c r="L21" s="237" t="s">
        <v>194</v>
      </c>
      <c r="M21" s="237"/>
      <c r="N21" s="237"/>
    </row>
    <row r="22" spans="1:16" ht="38.25" x14ac:dyDescent="0.2">
      <c r="A22" s="237"/>
      <c r="B22" s="237"/>
      <c r="C22" s="237"/>
      <c r="D22" s="237"/>
      <c r="E22" s="237"/>
      <c r="F22" s="237"/>
      <c r="G22" s="237"/>
      <c r="H22" s="241"/>
      <c r="I22" s="241"/>
      <c r="J22" s="104" t="s">
        <v>195</v>
      </c>
      <c r="K22" s="104" t="s">
        <v>196</v>
      </c>
      <c r="L22" s="104" t="s">
        <v>195</v>
      </c>
      <c r="M22" s="104" t="s">
        <v>197</v>
      </c>
      <c r="N22" s="237"/>
    </row>
    <row r="23" spans="1:16" x14ac:dyDescent="0.2">
      <c r="A23" s="104">
        <v>1</v>
      </c>
      <c r="B23" s="104">
        <f>A23+1</f>
        <v>2</v>
      </c>
      <c r="C23" s="104">
        <f t="shared" ref="C23:N23" si="4">B23+1</f>
        <v>3</v>
      </c>
      <c r="D23" s="104">
        <f t="shared" si="4"/>
        <v>4</v>
      </c>
      <c r="E23" s="104">
        <f t="shared" si="4"/>
        <v>5</v>
      </c>
      <c r="F23" s="104">
        <f t="shared" si="4"/>
        <v>6</v>
      </c>
      <c r="G23" s="104">
        <f t="shared" si="4"/>
        <v>7</v>
      </c>
      <c r="H23" s="104">
        <f t="shared" si="4"/>
        <v>8</v>
      </c>
      <c r="I23" s="104">
        <f t="shared" si="4"/>
        <v>9</v>
      </c>
      <c r="J23" s="104">
        <f t="shared" si="4"/>
        <v>10</v>
      </c>
      <c r="K23" s="104">
        <f t="shared" si="4"/>
        <v>11</v>
      </c>
      <c r="L23" s="104">
        <f t="shared" si="4"/>
        <v>12</v>
      </c>
      <c r="M23" s="104">
        <f t="shared" si="4"/>
        <v>13</v>
      </c>
      <c r="N23" s="104">
        <f t="shared" si="4"/>
        <v>14</v>
      </c>
      <c r="O23" s="111" t="s">
        <v>384</v>
      </c>
      <c r="P23" s="116">
        <v>14220745</v>
      </c>
    </row>
    <row r="24" spans="1:16" x14ac:dyDescent="0.2">
      <c r="A24" s="173" t="s">
        <v>388</v>
      </c>
      <c r="B24" s="104">
        <v>1</v>
      </c>
      <c r="C24" s="174">
        <v>16.399999999999999</v>
      </c>
      <c r="D24" s="77">
        <f>(C24*E24)+F24+G24+H24+I24+K24+M24</f>
        <v>325866.55</v>
      </c>
      <c r="E24" s="175">
        <v>6603</v>
      </c>
      <c r="F24" s="130">
        <v>4490.04</v>
      </c>
      <c r="G24" s="130">
        <v>35656.199999999997</v>
      </c>
      <c r="H24" s="130">
        <v>46934.12</v>
      </c>
      <c r="I24" s="130">
        <v>11781.76</v>
      </c>
      <c r="J24" s="41">
        <v>30</v>
      </c>
      <c r="K24" s="77">
        <v>56929.03</v>
      </c>
      <c r="L24" s="41">
        <v>30</v>
      </c>
      <c r="M24" s="77">
        <v>61786.2</v>
      </c>
      <c r="N24" s="77">
        <f>D24*12</f>
        <v>3910398.5999999996</v>
      </c>
      <c r="O24" s="111" t="s">
        <v>387</v>
      </c>
      <c r="P24" s="116">
        <f>P23/12</f>
        <v>1185062.0833333333</v>
      </c>
    </row>
    <row r="25" spans="1:16" x14ac:dyDescent="0.2">
      <c r="A25" s="173" t="s">
        <v>388</v>
      </c>
      <c r="B25" s="104">
        <f>B24+1</f>
        <v>2</v>
      </c>
      <c r="C25" s="176">
        <v>10.4</v>
      </c>
      <c r="D25" s="77">
        <f t="shared" ref="D25:D33" si="5">(C25*E25)+F25+G25+H25+I25+K25+M25</f>
        <v>234190.70400000003</v>
      </c>
      <c r="E25" s="175">
        <v>7521</v>
      </c>
      <c r="F25" s="130">
        <v>2105.88</v>
      </c>
      <c r="G25" s="130">
        <v>23540.73</v>
      </c>
      <c r="H25" s="130">
        <v>35032.82</v>
      </c>
      <c r="I25" s="130">
        <v>7471.36</v>
      </c>
      <c r="J25" s="41">
        <v>30</v>
      </c>
      <c r="K25" s="77">
        <f t="shared" ref="K25:K33" si="6">((C25*E25)+F25+G25+H25+I25)*30/100</f>
        <v>43910.757000000005</v>
      </c>
      <c r="L25" s="41">
        <v>30</v>
      </c>
      <c r="M25" s="77">
        <f t="shared" ref="M25:M34" si="7">((C25*E25)+F25+G25+H25+I25)*30/100</f>
        <v>43910.757000000005</v>
      </c>
      <c r="N25" s="77">
        <f t="shared" ref="N25:N34" si="8">D25*12</f>
        <v>2810288.4480000003</v>
      </c>
      <c r="O25" s="111" t="s">
        <v>385</v>
      </c>
      <c r="P25" s="116">
        <f>D24+D25+D26+D27+D28+D29+D30+D31+D33+D32</f>
        <v>895720.19799999997</v>
      </c>
    </row>
    <row r="26" spans="1:16" ht="25.5" x14ac:dyDescent="0.2">
      <c r="A26" s="173" t="s">
        <v>389</v>
      </c>
      <c r="B26" s="104">
        <f t="shared" ref="B26:B34" si="9">B25+1</f>
        <v>3</v>
      </c>
      <c r="C26" s="176">
        <v>1.63</v>
      </c>
      <c r="D26" s="77">
        <f t="shared" si="5"/>
        <v>37081.792000000001</v>
      </c>
      <c r="E26" s="175">
        <v>6556</v>
      </c>
      <c r="F26" s="130">
        <v>983.4</v>
      </c>
      <c r="G26" s="130">
        <v>5949.57</v>
      </c>
      <c r="H26" s="130">
        <v>5556.87</v>
      </c>
      <c r="I26" s="130"/>
      <c r="J26" s="41">
        <v>30</v>
      </c>
      <c r="K26" s="77">
        <f t="shared" si="6"/>
        <v>6952.8359999999993</v>
      </c>
      <c r="L26" s="41">
        <v>30</v>
      </c>
      <c r="M26" s="77">
        <f t="shared" si="7"/>
        <v>6952.8359999999993</v>
      </c>
      <c r="N26" s="77">
        <f t="shared" si="8"/>
        <v>444981.50400000002</v>
      </c>
      <c r="O26" s="111" t="s">
        <v>398</v>
      </c>
      <c r="P26" s="116">
        <f>P24-P25</f>
        <v>289341.88533333328</v>
      </c>
    </row>
    <row r="27" spans="1:16" ht="25.5" x14ac:dyDescent="0.2">
      <c r="A27" s="173" t="s">
        <v>390</v>
      </c>
      <c r="B27" s="104">
        <f t="shared" si="9"/>
        <v>4</v>
      </c>
      <c r="C27" s="176">
        <v>1.75</v>
      </c>
      <c r="D27" s="77">
        <f t="shared" si="5"/>
        <v>30620.159999999996</v>
      </c>
      <c r="E27" s="175">
        <v>5760</v>
      </c>
      <c r="F27" s="130">
        <v>864</v>
      </c>
      <c r="G27" s="130">
        <v>3312</v>
      </c>
      <c r="H27" s="130">
        <v>4881.6000000000004</v>
      </c>
      <c r="I27" s="130"/>
      <c r="J27" s="41">
        <v>30</v>
      </c>
      <c r="K27" s="77">
        <f t="shared" si="6"/>
        <v>5741.28</v>
      </c>
      <c r="L27" s="41">
        <v>30</v>
      </c>
      <c r="M27" s="77">
        <f t="shared" si="7"/>
        <v>5741.28</v>
      </c>
      <c r="N27" s="77">
        <f t="shared" si="8"/>
        <v>367441.91999999993</v>
      </c>
    </row>
    <row r="28" spans="1:16" ht="25.5" x14ac:dyDescent="0.2">
      <c r="A28" s="173" t="s">
        <v>390</v>
      </c>
      <c r="B28" s="104">
        <f t="shared" si="9"/>
        <v>5</v>
      </c>
      <c r="C28" s="176">
        <v>1.5</v>
      </c>
      <c r="D28" s="77">
        <f t="shared" si="5"/>
        <v>32045.728000000003</v>
      </c>
      <c r="E28" s="175">
        <v>6556</v>
      </c>
      <c r="F28" s="130">
        <v>1311.2</v>
      </c>
      <c r="G28" s="130">
        <v>3769.7</v>
      </c>
      <c r="H28" s="130">
        <v>5113.68</v>
      </c>
      <c r="I28" s="130"/>
      <c r="J28" s="41">
        <v>30</v>
      </c>
      <c r="K28" s="77">
        <f t="shared" si="6"/>
        <v>6008.5740000000005</v>
      </c>
      <c r="L28" s="41">
        <v>30</v>
      </c>
      <c r="M28" s="77">
        <f t="shared" si="7"/>
        <v>6008.5740000000005</v>
      </c>
      <c r="N28" s="77">
        <f t="shared" si="8"/>
        <v>384548.73600000003</v>
      </c>
    </row>
    <row r="29" spans="1:16" ht="25.5" x14ac:dyDescent="0.2">
      <c r="A29" s="173" t="s">
        <v>391</v>
      </c>
      <c r="B29" s="104">
        <f t="shared" si="9"/>
        <v>6</v>
      </c>
      <c r="C29" s="176">
        <v>1.5</v>
      </c>
      <c r="D29" s="77">
        <f t="shared" si="5"/>
        <v>36882.992000000006</v>
      </c>
      <c r="E29" s="175">
        <v>7521</v>
      </c>
      <c r="F29" s="130">
        <v>1203.3599999999999</v>
      </c>
      <c r="G29" s="130">
        <v>4700.63</v>
      </c>
      <c r="H29" s="130">
        <v>5866.38</v>
      </c>
      <c r="I29" s="130"/>
      <c r="J29" s="41">
        <v>30</v>
      </c>
      <c r="K29" s="77">
        <f t="shared" si="6"/>
        <v>6915.5610000000006</v>
      </c>
      <c r="L29" s="41">
        <v>30</v>
      </c>
      <c r="M29" s="77">
        <f t="shared" si="7"/>
        <v>6915.5610000000006</v>
      </c>
      <c r="N29" s="77">
        <f t="shared" si="8"/>
        <v>442595.9040000001</v>
      </c>
    </row>
    <row r="30" spans="1:16" x14ac:dyDescent="0.2">
      <c r="A30" s="173" t="s">
        <v>392</v>
      </c>
      <c r="B30" s="104">
        <f t="shared" si="9"/>
        <v>7</v>
      </c>
      <c r="C30" s="176">
        <v>1</v>
      </c>
      <c r="D30" s="77">
        <f t="shared" si="5"/>
        <v>33858.207999999991</v>
      </c>
      <c r="E30" s="175">
        <v>8234</v>
      </c>
      <c r="F30" s="130">
        <v>1646.8</v>
      </c>
      <c r="G30" s="130">
        <v>6998.9</v>
      </c>
      <c r="H30" s="130">
        <v>4281.68</v>
      </c>
      <c r="I30" s="130"/>
      <c r="J30" s="41">
        <v>30</v>
      </c>
      <c r="K30" s="77">
        <f t="shared" si="6"/>
        <v>6348.4139999999989</v>
      </c>
      <c r="L30" s="41">
        <v>30</v>
      </c>
      <c r="M30" s="77">
        <f t="shared" si="7"/>
        <v>6348.4139999999989</v>
      </c>
      <c r="N30" s="77">
        <f t="shared" si="8"/>
        <v>406298.49599999993</v>
      </c>
    </row>
    <row r="31" spans="1:16" ht="25.5" x14ac:dyDescent="0.2">
      <c r="A31" s="173" t="s">
        <v>393</v>
      </c>
      <c r="B31" s="104">
        <f t="shared" si="9"/>
        <v>8</v>
      </c>
      <c r="C31" s="176">
        <v>2.5</v>
      </c>
      <c r="D31" s="77">
        <f t="shared" si="5"/>
        <v>66201.36</v>
      </c>
      <c r="E31" s="175">
        <v>8234</v>
      </c>
      <c r="F31" s="130">
        <v>4117</v>
      </c>
      <c r="G31" s="130">
        <v>7204.75</v>
      </c>
      <c r="H31" s="130">
        <v>9469.1</v>
      </c>
      <c r="I31" s="130"/>
      <c r="J31" s="41">
        <v>30</v>
      </c>
      <c r="K31" s="77">
        <f t="shared" si="6"/>
        <v>12412.754999999999</v>
      </c>
      <c r="L31" s="41">
        <v>30</v>
      </c>
      <c r="M31" s="77">
        <f t="shared" si="7"/>
        <v>12412.754999999999</v>
      </c>
      <c r="N31" s="77">
        <f t="shared" si="8"/>
        <v>794416.32000000007</v>
      </c>
    </row>
    <row r="32" spans="1:16" ht="25.5" x14ac:dyDescent="0.2">
      <c r="A32" s="173" t="s">
        <v>509</v>
      </c>
      <c r="B32" s="104">
        <f t="shared" si="9"/>
        <v>9</v>
      </c>
      <c r="C32" s="176">
        <v>0.5</v>
      </c>
      <c r="D32" s="77">
        <f t="shared" si="5"/>
        <v>10341.903999999999</v>
      </c>
      <c r="E32" s="175">
        <v>8234</v>
      </c>
      <c r="F32" s="130">
        <v>823.4</v>
      </c>
      <c r="G32" s="130">
        <v>411.7</v>
      </c>
      <c r="H32" s="130">
        <v>1111.5899999999999</v>
      </c>
      <c r="I32" s="130"/>
      <c r="J32" s="41">
        <v>30</v>
      </c>
      <c r="K32" s="77">
        <f t="shared" si="6"/>
        <v>1939.1069999999997</v>
      </c>
      <c r="L32" s="41">
        <v>30</v>
      </c>
      <c r="M32" s="77">
        <f t="shared" si="7"/>
        <v>1939.1069999999997</v>
      </c>
      <c r="N32" s="77">
        <f t="shared" si="8"/>
        <v>124102.84799999998</v>
      </c>
    </row>
    <row r="33" spans="1:16" x14ac:dyDescent="0.2">
      <c r="A33" s="173" t="s">
        <v>394</v>
      </c>
      <c r="B33" s="104">
        <f t="shared" si="9"/>
        <v>10</v>
      </c>
      <c r="C33" s="176"/>
      <c r="D33" s="77">
        <f t="shared" si="5"/>
        <v>88630.799999999988</v>
      </c>
      <c r="E33" s="175"/>
      <c r="F33" s="130"/>
      <c r="G33" s="130">
        <v>55394.25</v>
      </c>
      <c r="H33" s="130"/>
      <c r="I33" s="130"/>
      <c r="J33" s="41">
        <v>30</v>
      </c>
      <c r="K33" s="77">
        <f t="shared" si="6"/>
        <v>16618.275000000001</v>
      </c>
      <c r="L33" s="41">
        <v>30</v>
      </c>
      <c r="M33" s="77">
        <f t="shared" si="7"/>
        <v>16618.275000000001</v>
      </c>
      <c r="N33" s="77">
        <f t="shared" si="8"/>
        <v>1063569.5999999999</v>
      </c>
    </row>
    <row r="34" spans="1:16" ht="25.5" x14ac:dyDescent="0.2">
      <c r="A34" s="173" t="s">
        <v>395</v>
      </c>
      <c r="B34" s="104">
        <f t="shared" si="9"/>
        <v>11</v>
      </c>
      <c r="C34" s="176"/>
      <c r="D34" s="77">
        <f>G34+K34+M34</f>
        <v>289341.88533333328</v>
      </c>
      <c r="E34" s="175"/>
      <c r="F34" s="130"/>
      <c r="G34" s="130">
        <f>P26/1.6</f>
        <v>180838.67833333329</v>
      </c>
      <c r="H34" s="130"/>
      <c r="I34" s="130"/>
      <c r="J34" s="41">
        <v>30</v>
      </c>
      <c r="K34" s="77">
        <f>((C34*E34)+F34+G34+H34+I34)*30/100</f>
        <v>54251.60349999999</v>
      </c>
      <c r="L34" s="41">
        <v>30</v>
      </c>
      <c r="M34" s="77">
        <f t="shared" si="7"/>
        <v>54251.60349999999</v>
      </c>
      <c r="N34" s="77">
        <f t="shared" si="8"/>
        <v>3472102.6239999994</v>
      </c>
      <c r="O34" s="162" t="s">
        <v>434</v>
      </c>
      <c r="P34" s="162" t="s">
        <v>435</v>
      </c>
    </row>
    <row r="35" spans="1:16" x14ac:dyDescent="0.2">
      <c r="A35" s="31" t="s">
        <v>136</v>
      </c>
      <c r="B35" s="104">
        <v>9000</v>
      </c>
      <c r="C35" s="104" t="s">
        <v>12</v>
      </c>
      <c r="D35" s="77">
        <f>SUM(D24:D34)</f>
        <v>1185062.083333333</v>
      </c>
      <c r="E35" s="77"/>
      <c r="F35" s="77">
        <f>SUM(F24:F34)</f>
        <v>17545.080000000002</v>
      </c>
      <c r="G35" s="77">
        <f>SUM(G24:G34)</f>
        <v>327777.10833333328</v>
      </c>
      <c r="H35" s="77">
        <f>SUM(H24:H34)</f>
        <v>118247.84</v>
      </c>
      <c r="I35" s="77">
        <f>SUM(I24:I34)</f>
        <v>19253.12</v>
      </c>
      <c r="J35" s="77"/>
      <c r="K35" s="77">
        <f>SUM(K24:K34)</f>
        <v>218028.1925</v>
      </c>
      <c r="L35" s="77"/>
      <c r="M35" s="77">
        <f>SUM(M24:M34)</f>
        <v>222885.36249999996</v>
      </c>
      <c r="N35" s="78">
        <f>SUM(N24:N34)</f>
        <v>14220745</v>
      </c>
      <c r="O35" s="162">
        <v>0</v>
      </c>
      <c r="P35" s="185">
        <f>N35-O35</f>
        <v>14220745</v>
      </c>
    </row>
    <row r="36" spans="1:16" ht="13.5" customHeight="1" x14ac:dyDescent="0.2">
      <c r="A36" s="133"/>
      <c r="B36" s="108"/>
      <c r="C36" s="108"/>
      <c r="D36" s="177"/>
      <c r="E36" s="177"/>
      <c r="F36" s="177"/>
      <c r="G36" s="177"/>
      <c r="H36" s="177"/>
      <c r="I36" s="177"/>
      <c r="J36" s="177"/>
      <c r="K36" s="177"/>
      <c r="L36" s="177"/>
      <c r="M36" s="177"/>
      <c r="N36" s="178"/>
      <c r="O36" s="139"/>
      <c r="P36" s="139"/>
    </row>
    <row r="37" spans="1:16" ht="24" hidden="1" customHeight="1" x14ac:dyDescent="0.2">
      <c r="A37" s="249" t="s">
        <v>475</v>
      </c>
      <c r="B37" s="250"/>
      <c r="C37" s="250"/>
      <c r="D37" s="250"/>
      <c r="E37" s="250"/>
      <c r="F37" s="177"/>
      <c r="G37" s="177"/>
      <c r="H37" s="177"/>
      <c r="I37" s="177"/>
      <c r="J37" s="177"/>
      <c r="K37" s="177"/>
      <c r="L37" s="177"/>
      <c r="M37" s="177"/>
      <c r="N37" s="178"/>
    </row>
    <row r="38" spans="1:16" hidden="1" x14ac:dyDescent="0.2">
      <c r="A38" s="237" t="s">
        <v>185</v>
      </c>
      <c r="B38" s="237" t="s">
        <v>1</v>
      </c>
      <c r="C38" s="237" t="s">
        <v>186</v>
      </c>
      <c r="D38" s="237" t="s">
        <v>187</v>
      </c>
      <c r="E38" s="237"/>
      <c r="F38" s="237"/>
      <c r="G38" s="237"/>
      <c r="H38" s="237"/>
      <c r="I38" s="237"/>
      <c r="J38" s="237"/>
      <c r="K38" s="237"/>
      <c r="L38" s="237"/>
      <c r="M38" s="237"/>
      <c r="N38" s="237" t="s">
        <v>188</v>
      </c>
    </row>
    <row r="39" spans="1:16" hidden="1" x14ac:dyDescent="0.2">
      <c r="A39" s="237"/>
      <c r="B39" s="237"/>
      <c r="C39" s="237"/>
      <c r="D39" s="237" t="s">
        <v>189</v>
      </c>
      <c r="E39" s="237" t="s">
        <v>15</v>
      </c>
      <c r="F39" s="237"/>
      <c r="G39" s="237"/>
      <c r="H39" s="237"/>
      <c r="I39" s="237"/>
      <c r="J39" s="237"/>
      <c r="K39" s="237"/>
      <c r="L39" s="237"/>
      <c r="M39" s="237"/>
      <c r="N39" s="237"/>
    </row>
    <row r="40" spans="1:16" hidden="1" x14ac:dyDescent="0.2">
      <c r="A40" s="237"/>
      <c r="B40" s="237"/>
      <c r="C40" s="237"/>
      <c r="D40" s="237"/>
      <c r="E40" s="237" t="s">
        <v>190</v>
      </c>
      <c r="F40" s="237" t="s">
        <v>191</v>
      </c>
      <c r="G40" s="237" t="s">
        <v>431</v>
      </c>
      <c r="H40" s="239" t="s">
        <v>396</v>
      </c>
      <c r="I40" s="239" t="s">
        <v>397</v>
      </c>
      <c r="J40" s="237" t="s">
        <v>193</v>
      </c>
      <c r="K40" s="237"/>
      <c r="L40" s="237" t="s">
        <v>194</v>
      </c>
      <c r="M40" s="237"/>
      <c r="N40" s="237"/>
    </row>
    <row r="41" spans="1:16" ht="38.25" hidden="1" x14ac:dyDescent="0.2">
      <c r="A41" s="237"/>
      <c r="B41" s="237"/>
      <c r="C41" s="237"/>
      <c r="D41" s="237"/>
      <c r="E41" s="237"/>
      <c r="F41" s="237"/>
      <c r="G41" s="237"/>
      <c r="H41" s="241"/>
      <c r="I41" s="241"/>
      <c r="J41" s="104" t="s">
        <v>195</v>
      </c>
      <c r="K41" s="104" t="s">
        <v>196</v>
      </c>
      <c r="L41" s="104" t="s">
        <v>195</v>
      </c>
      <c r="M41" s="104" t="s">
        <v>197</v>
      </c>
      <c r="N41" s="237"/>
      <c r="O41" s="140"/>
      <c r="P41" s="140"/>
    </row>
    <row r="42" spans="1:16" hidden="1" x14ac:dyDescent="0.2">
      <c r="A42" s="104">
        <v>1</v>
      </c>
      <c r="B42" s="104">
        <f t="shared" ref="B42:N42" si="10">A42+1</f>
        <v>2</v>
      </c>
      <c r="C42" s="104">
        <f t="shared" si="10"/>
        <v>3</v>
      </c>
      <c r="D42" s="104">
        <f t="shared" si="10"/>
        <v>4</v>
      </c>
      <c r="E42" s="104">
        <f t="shared" si="10"/>
        <v>5</v>
      </c>
      <c r="F42" s="104">
        <f t="shared" si="10"/>
        <v>6</v>
      </c>
      <c r="G42" s="104">
        <f t="shared" si="10"/>
        <v>7</v>
      </c>
      <c r="H42" s="104">
        <f t="shared" si="10"/>
        <v>8</v>
      </c>
      <c r="I42" s="104">
        <f t="shared" si="10"/>
        <v>9</v>
      </c>
      <c r="J42" s="104">
        <f t="shared" si="10"/>
        <v>10</v>
      </c>
      <c r="K42" s="104">
        <f t="shared" si="10"/>
        <v>11</v>
      </c>
      <c r="L42" s="104">
        <f t="shared" si="10"/>
        <v>12</v>
      </c>
      <c r="M42" s="104">
        <f t="shared" si="10"/>
        <v>13</v>
      </c>
      <c r="N42" s="104">
        <f t="shared" si="10"/>
        <v>14</v>
      </c>
      <c r="O42" s="162" t="s">
        <v>434</v>
      </c>
      <c r="P42" s="162" t="s">
        <v>435</v>
      </c>
    </row>
    <row r="43" spans="1:16" hidden="1" x14ac:dyDescent="0.2">
      <c r="A43" s="173"/>
      <c r="B43" s="104"/>
      <c r="C43" s="186"/>
      <c r="D43" s="77"/>
      <c r="E43" s="175"/>
      <c r="F43" s="130"/>
      <c r="G43" s="130"/>
      <c r="H43" s="130"/>
      <c r="I43" s="130"/>
      <c r="J43" s="41"/>
      <c r="K43" s="77"/>
      <c r="L43" s="41"/>
      <c r="M43" s="77"/>
      <c r="N43" s="78">
        <v>0</v>
      </c>
      <c r="O43" s="162"/>
      <c r="P43" s="185">
        <f>N43-O43</f>
        <v>0</v>
      </c>
    </row>
    <row r="44" spans="1:16" hidden="1" x14ac:dyDescent="0.2"/>
    <row r="45" spans="1:16" x14ac:dyDescent="0.2">
      <c r="A45" s="30" t="str">
        <f>'3.13.1'!J9</f>
        <v>0701 0210074080 621</v>
      </c>
    </row>
    <row r="46" spans="1:16" ht="12.75" customHeight="1" x14ac:dyDescent="0.2">
      <c r="A46" s="237" t="s">
        <v>185</v>
      </c>
      <c r="B46" s="237" t="s">
        <v>1</v>
      </c>
      <c r="C46" s="237" t="s">
        <v>186</v>
      </c>
      <c r="D46" s="237" t="s">
        <v>187</v>
      </c>
      <c r="E46" s="237"/>
      <c r="F46" s="237"/>
      <c r="G46" s="237"/>
      <c r="H46" s="237"/>
      <c r="I46" s="237"/>
      <c r="J46" s="237"/>
      <c r="K46" s="237"/>
      <c r="L46" s="237"/>
      <c r="M46" s="239" t="s">
        <v>188</v>
      </c>
      <c r="N46" s="140"/>
    </row>
    <row r="47" spans="1:16" x14ac:dyDescent="0.2">
      <c r="A47" s="237"/>
      <c r="B47" s="237"/>
      <c r="C47" s="237"/>
      <c r="D47" s="237" t="s">
        <v>189</v>
      </c>
      <c r="E47" s="237" t="s">
        <v>15</v>
      </c>
      <c r="F47" s="237"/>
      <c r="G47" s="237"/>
      <c r="H47" s="237"/>
      <c r="I47" s="237"/>
      <c r="J47" s="237"/>
      <c r="K47" s="237"/>
      <c r="L47" s="237"/>
      <c r="M47" s="240"/>
      <c r="N47" s="140"/>
    </row>
    <row r="48" spans="1:16" ht="37.5" customHeight="1" x14ac:dyDescent="0.2">
      <c r="A48" s="237"/>
      <c r="B48" s="237"/>
      <c r="C48" s="237"/>
      <c r="D48" s="237"/>
      <c r="E48" s="237" t="s">
        <v>190</v>
      </c>
      <c r="F48" s="237" t="s">
        <v>191</v>
      </c>
      <c r="G48" s="237" t="s">
        <v>431</v>
      </c>
      <c r="H48" s="248" t="s">
        <v>396</v>
      </c>
      <c r="I48" s="104" t="s">
        <v>193</v>
      </c>
      <c r="J48" s="104"/>
      <c r="K48" s="104" t="s">
        <v>194</v>
      </c>
      <c r="L48" s="104"/>
      <c r="M48" s="240"/>
      <c r="N48" s="140"/>
    </row>
    <row r="49" spans="1:16" ht="38.25" x14ac:dyDescent="0.2">
      <c r="A49" s="237"/>
      <c r="B49" s="237"/>
      <c r="C49" s="237"/>
      <c r="D49" s="237"/>
      <c r="E49" s="237"/>
      <c r="F49" s="237"/>
      <c r="G49" s="237"/>
      <c r="H49" s="248"/>
      <c r="I49" s="104" t="s">
        <v>195</v>
      </c>
      <c r="J49" s="104" t="s">
        <v>196</v>
      </c>
      <c r="K49" s="104" t="s">
        <v>195</v>
      </c>
      <c r="L49" s="104" t="s">
        <v>197</v>
      </c>
      <c r="M49" s="241"/>
    </row>
    <row r="50" spans="1:16" x14ac:dyDescent="0.2">
      <c r="A50" s="104">
        <v>1</v>
      </c>
      <c r="B50" s="104">
        <f>A50+1</f>
        <v>2</v>
      </c>
      <c r="C50" s="104">
        <f t="shared" ref="C50:M50" si="11">B50+1</f>
        <v>3</v>
      </c>
      <c r="D50" s="104">
        <f t="shared" si="11"/>
        <v>4</v>
      </c>
      <c r="E50" s="104">
        <f t="shared" si="11"/>
        <v>5</v>
      </c>
      <c r="F50" s="104">
        <f t="shared" si="11"/>
        <v>6</v>
      </c>
      <c r="G50" s="104">
        <f t="shared" si="11"/>
        <v>7</v>
      </c>
      <c r="H50" s="104">
        <f t="shared" si="11"/>
        <v>8</v>
      </c>
      <c r="I50" s="104">
        <f t="shared" si="11"/>
        <v>9</v>
      </c>
      <c r="J50" s="104">
        <f t="shared" si="11"/>
        <v>10</v>
      </c>
      <c r="K50" s="104">
        <f t="shared" si="11"/>
        <v>11</v>
      </c>
      <c r="L50" s="104">
        <f t="shared" si="11"/>
        <v>12</v>
      </c>
      <c r="M50" s="104">
        <f t="shared" si="11"/>
        <v>13</v>
      </c>
    </row>
    <row r="51" spans="1:16" x14ac:dyDescent="0.2">
      <c r="A51" s="173" t="s">
        <v>399</v>
      </c>
      <c r="B51" s="104">
        <v>1</v>
      </c>
      <c r="C51" s="176">
        <v>1</v>
      </c>
      <c r="D51" s="51">
        <f>(C51*E51)+F51+G51+H51+J51+L51</f>
        <v>9830.7999999999993</v>
      </c>
      <c r="E51" s="179">
        <v>3511</v>
      </c>
      <c r="F51" s="180"/>
      <c r="G51" s="180">
        <v>2633.25</v>
      </c>
      <c r="H51" s="162"/>
      <c r="I51" s="79">
        <v>30</v>
      </c>
      <c r="J51" s="51">
        <f>((C51*E51)+F51+G51+H51)*30/100</f>
        <v>1843.2750000000001</v>
      </c>
      <c r="K51" s="79">
        <v>30</v>
      </c>
      <c r="L51" s="51">
        <f>J51</f>
        <v>1843.2750000000001</v>
      </c>
      <c r="M51" s="51">
        <f>D51*12</f>
        <v>117969.59999999999</v>
      </c>
      <c r="O51" s="111" t="s">
        <v>384</v>
      </c>
      <c r="P51" s="116">
        <f>4148206.5+1664092.3</f>
        <v>5812298.7999999998</v>
      </c>
    </row>
    <row r="52" spans="1:16" x14ac:dyDescent="0.2">
      <c r="A52" s="173" t="s">
        <v>400</v>
      </c>
      <c r="B52" s="104">
        <f>B51+1</f>
        <v>2</v>
      </c>
      <c r="C52" s="176">
        <v>1</v>
      </c>
      <c r="D52" s="51">
        <f t="shared" ref="D52:D63" si="12">(C52*E52)+F52+G52+H52+J52+L52</f>
        <v>32002.880000000005</v>
      </c>
      <c r="E52" s="179">
        <v>15386</v>
      </c>
      <c r="F52" s="180">
        <v>2307.9</v>
      </c>
      <c r="G52" s="180">
        <v>2307.9</v>
      </c>
      <c r="H52" s="162"/>
      <c r="I52" s="79">
        <v>30</v>
      </c>
      <c r="J52" s="51">
        <f t="shared" ref="J52:J63" si="13">((C52*E52)+F52+G52+H52)*30/100</f>
        <v>6000.5400000000009</v>
      </c>
      <c r="K52" s="79">
        <v>30</v>
      </c>
      <c r="L52" s="51">
        <f t="shared" ref="L52:L62" si="14">J52</f>
        <v>6000.5400000000009</v>
      </c>
      <c r="M52" s="51">
        <f t="shared" ref="M52:M63" si="15">D52*12</f>
        <v>384034.56000000006</v>
      </c>
      <c r="O52" s="111" t="s">
        <v>387</v>
      </c>
      <c r="P52" s="116">
        <f>P51/12</f>
        <v>484358.23333333334</v>
      </c>
    </row>
    <row r="53" spans="1:16" x14ac:dyDescent="0.2">
      <c r="A53" s="173" t="s">
        <v>401</v>
      </c>
      <c r="B53" s="104">
        <f t="shared" ref="B53:B63" si="16">B52+1</f>
        <v>3</v>
      </c>
      <c r="C53" s="176">
        <v>1</v>
      </c>
      <c r="D53" s="51">
        <f t="shared" si="12"/>
        <v>37663.040000000001</v>
      </c>
      <c r="E53" s="179">
        <v>13078</v>
      </c>
      <c r="F53" s="180"/>
      <c r="G53" s="180">
        <v>7192.9</v>
      </c>
      <c r="H53" s="162">
        <v>3268.5</v>
      </c>
      <c r="I53" s="79">
        <v>30</v>
      </c>
      <c r="J53" s="51">
        <f t="shared" si="13"/>
        <v>7061.82</v>
      </c>
      <c r="K53" s="79">
        <v>30</v>
      </c>
      <c r="L53" s="51">
        <f t="shared" si="14"/>
        <v>7061.82</v>
      </c>
      <c r="M53" s="51">
        <f t="shared" si="15"/>
        <v>451956.47999999998</v>
      </c>
      <c r="O53" s="111" t="s">
        <v>385</v>
      </c>
      <c r="P53" s="116">
        <f>D51+D52+D53+D54+D55+D56+D57+D58+D59+D60+D61+D62</f>
        <v>272636.56</v>
      </c>
    </row>
    <row r="54" spans="1:16" ht="25.5" x14ac:dyDescent="0.2">
      <c r="A54" s="173" t="s">
        <v>402</v>
      </c>
      <c r="B54" s="104">
        <f t="shared" si="16"/>
        <v>4</v>
      </c>
      <c r="C54" s="176">
        <v>0.3</v>
      </c>
      <c r="D54" s="51">
        <f t="shared" si="12"/>
        <v>6591.3119999999999</v>
      </c>
      <c r="E54" s="179">
        <v>13078</v>
      </c>
      <c r="F54" s="180"/>
      <c r="G54" s="180">
        <v>196.17</v>
      </c>
      <c r="H54" s="162"/>
      <c r="I54" s="79">
        <v>30</v>
      </c>
      <c r="J54" s="51">
        <f t="shared" si="13"/>
        <v>1235.8709999999999</v>
      </c>
      <c r="K54" s="79">
        <v>30</v>
      </c>
      <c r="L54" s="51">
        <f t="shared" si="14"/>
        <v>1235.8709999999999</v>
      </c>
      <c r="M54" s="51">
        <f t="shared" si="15"/>
        <v>79095.744000000006</v>
      </c>
      <c r="O54" s="111" t="s">
        <v>398</v>
      </c>
      <c r="P54" s="116">
        <f>P52-P53</f>
        <v>211721.67333333334</v>
      </c>
    </row>
    <row r="55" spans="1:16" x14ac:dyDescent="0.2">
      <c r="A55" s="173" t="s">
        <v>284</v>
      </c>
      <c r="B55" s="104">
        <f t="shared" si="16"/>
        <v>5</v>
      </c>
      <c r="C55" s="176">
        <v>1</v>
      </c>
      <c r="D55" s="51">
        <f t="shared" si="12"/>
        <v>28248.48</v>
      </c>
      <c r="E55" s="179">
        <v>13078</v>
      </c>
      <c r="F55" s="180"/>
      <c r="G55" s="180">
        <v>4577.3</v>
      </c>
      <c r="H55" s="162"/>
      <c r="I55" s="79">
        <v>30</v>
      </c>
      <c r="J55" s="51">
        <f t="shared" si="13"/>
        <v>5296.59</v>
      </c>
      <c r="K55" s="79">
        <v>30</v>
      </c>
      <c r="L55" s="51">
        <f t="shared" si="14"/>
        <v>5296.59</v>
      </c>
      <c r="M55" s="51">
        <f t="shared" si="15"/>
        <v>338981.76</v>
      </c>
    </row>
    <row r="56" spans="1:16" x14ac:dyDescent="0.2">
      <c r="A56" s="173" t="s">
        <v>498</v>
      </c>
      <c r="B56" s="104">
        <f t="shared" si="16"/>
        <v>6</v>
      </c>
      <c r="C56" s="176">
        <v>0.5</v>
      </c>
      <c r="D56" s="51">
        <f t="shared" si="12"/>
        <v>4282.08</v>
      </c>
      <c r="E56" s="179">
        <v>4282</v>
      </c>
      <c r="F56" s="180"/>
      <c r="G56" s="180">
        <v>535.29999999999995</v>
      </c>
      <c r="H56" s="162"/>
      <c r="I56" s="79">
        <v>30</v>
      </c>
      <c r="J56" s="51">
        <f t="shared" si="13"/>
        <v>802.89</v>
      </c>
      <c r="K56" s="79">
        <v>30</v>
      </c>
      <c r="L56" s="51">
        <f t="shared" si="14"/>
        <v>802.89</v>
      </c>
      <c r="M56" s="51">
        <f t="shared" si="15"/>
        <v>51384.959999999999</v>
      </c>
    </row>
    <row r="57" spans="1:16" ht="25.5" x14ac:dyDescent="0.2">
      <c r="A57" s="173" t="s">
        <v>403</v>
      </c>
      <c r="B57" s="104">
        <f t="shared" si="16"/>
        <v>7</v>
      </c>
      <c r="C57" s="176">
        <v>15.25</v>
      </c>
      <c r="D57" s="51">
        <f t="shared" si="12"/>
        <v>118349.18400000001</v>
      </c>
      <c r="E57" s="179">
        <v>3964</v>
      </c>
      <c r="F57" s="180">
        <v>4003.64</v>
      </c>
      <c r="G57" s="180">
        <v>9513.6</v>
      </c>
      <c r="H57" s="162"/>
      <c r="I57" s="79">
        <v>30</v>
      </c>
      <c r="J57" s="51">
        <f t="shared" si="13"/>
        <v>22190.472000000002</v>
      </c>
      <c r="K57" s="79">
        <v>30</v>
      </c>
      <c r="L57" s="51">
        <f t="shared" si="14"/>
        <v>22190.472000000002</v>
      </c>
      <c r="M57" s="51">
        <f t="shared" si="15"/>
        <v>1420190.2080000001</v>
      </c>
    </row>
    <row r="58" spans="1:16" ht="25.5" x14ac:dyDescent="0.2">
      <c r="A58" s="173" t="s">
        <v>404</v>
      </c>
      <c r="B58" s="104">
        <f t="shared" si="16"/>
        <v>8</v>
      </c>
      <c r="C58" s="176">
        <v>0.25</v>
      </c>
      <c r="D58" s="51">
        <f t="shared" si="12"/>
        <v>1798.4480000000001</v>
      </c>
      <c r="E58" s="179">
        <v>4282</v>
      </c>
      <c r="F58" s="180"/>
      <c r="G58" s="180">
        <v>53.53</v>
      </c>
      <c r="H58" s="162"/>
      <c r="I58" s="79">
        <v>30</v>
      </c>
      <c r="J58" s="51">
        <f t="shared" si="13"/>
        <v>337.209</v>
      </c>
      <c r="K58" s="79">
        <v>30</v>
      </c>
      <c r="L58" s="51">
        <f t="shared" si="14"/>
        <v>337.209</v>
      </c>
      <c r="M58" s="51">
        <f t="shared" si="15"/>
        <v>21581.376</v>
      </c>
    </row>
    <row r="59" spans="1:16" ht="25.5" x14ac:dyDescent="0.2">
      <c r="A59" s="173" t="s">
        <v>405</v>
      </c>
      <c r="B59" s="104">
        <f t="shared" si="16"/>
        <v>9</v>
      </c>
      <c r="C59" s="176">
        <v>0.15</v>
      </c>
      <c r="D59" s="51">
        <f t="shared" si="12"/>
        <v>1079.0719999999999</v>
      </c>
      <c r="E59" s="179">
        <v>4282</v>
      </c>
      <c r="F59" s="180"/>
      <c r="G59" s="180">
        <v>32.119999999999997</v>
      </c>
      <c r="H59" s="162"/>
      <c r="I59" s="79">
        <v>30</v>
      </c>
      <c r="J59" s="51">
        <f t="shared" si="13"/>
        <v>202.32599999999999</v>
      </c>
      <c r="K59" s="79">
        <v>30</v>
      </c>
      <c r="L59" s="51">
        <f t="shared" si="14"/>
        <v>202.32599999999999</v>
      </c>
      <c r="M59" s="51">
        <f t="shared" si="15"/>
        <v>12948.863999999998</v>
      </c>
    </row>
    <row r="60" spans="1:16" x14ac:dyDescent="0.2">
      <c r="A60" s="173" t="s">
        <v>394</v>
      </c>
      <c r="B60" s="104">
        <f t="shared" si="16"/>
        <v>10</v>
      </c>
      <c r="C60" s="176"/>
      <c r="D60" s="51">
        <f t="shared" si="12"/>
        <v>12117.663999999999</v>
      </c>
      <c r="E60" s="180"/>
      <c r="F60" s="180"/>
      <c r="G60" s="180">
        <v>7573.54</v>
      </c>
      <c r="H60" s="162"/>
      <c r="I60" s="79">
        <v>30</v>
      </c>
      <c r="J60" s="51">
        <f t="shared" si="13"/>
        <v>2272.0619999999999</v>
      </c>
      <c r="K60" s="79">
        <v>30</v>
      </c>
      <c r="L60" s="51">
        <f t="shared" si="14"/>
        <v>2272.0619999999999</v>
      </c>
      <c r="M60" s="51">
        <f t="shared" si="15"/>
        <v>145411.96799999999</v>
      </c>
    </row>
    <row r="61" spans="1:16" ht="38.25" x14ac:dyDescent="0.2">
      <c r="A61" s="173" t="s">
        <v>406</v>
      </c>
      <c r="B61" s="104">
        <f t="shared" si="16"/>
        <v>11</v>
      </c>
      <c r="C61" s="176"/>
      <c r="D61" s="51">
        <f t="shared" si="12"/>
        <v>14026.895999999999</v>
      </c>
      <c r="E61" s="180"/>
      <c r="F61" s="180"/>
      <c r="G61" s="180">
        <v>8766.81</v>
      </c>
      <c r="H61" s="162"/>
      <c r="I61" s="79">
        <v>30</v>
      </c>
      <c r="J61" s="51">
        <f t="shared" si="13"/>
        <v>2630.0429999999997</v>
      </c>
      <c r="K61" s="79">
        <v>30</v>
      </c>
      <c r="L61" s="51">
        <f t="shared" si="14"/>
        <v>2630.0429999999997</v>
      </c>
      <c r="M61" s="51">
        <f t="shared" si="15"/>
        <v>168322.75199999998</v>
      </c>
    </row>
    <row r="62" spans="1:16" ht="25.5" x14ac:dyDescent="0.2">
      <c r="A62" s="173" t="s">
        <v>407</v>
      </c>
      <c r="B62" s="104">
        <f t="shared" si="16"/>
        <v>12</v>
      </c>
      <c r="C62" s="176"/>
      <c r="D62" s="51">
        <f t="shared" si="12"/>
        <v>6646.7039999999988</v>
      </c>
      <c r="E62" s="180"/>
      <c r="F62" s="180"/>
      <c r="G62" s="180">
        <v>4154.1899999999996</v>
      </c>
      <c r="H62" s="162"/>
      <c r="I62" s="79">
        <v>30</v>
      </c>
      <c r="J62" s="51">
        <f t="shared" si="13"/>
        <v>1246.2569999999998</v>
      </c>
      <c r="K62" s="79">
        <v>30</v>
      </c>
      <c r="L62" s="51">
        <f t="shared" si="14"/>
        <v>1246.2569999999998</v>
      </c>
      <c r="M62" s="51">
        <f t="shared" si="15"/>
        <v>79760.447999999989</v>
      </c>
      <c r="O62" s="140"/>
      <c r="P62" s="140"/>
    </row>
    <row r="63" spans="1:16" x14ac:dyDescent="0.2">
      <c r="A63" s="173" t="s">
        <v>408</v>
      </c>
      <c r="B63" s="104">
        <f t="shared" si="16"/>
        <v>13</v>
      </c>
      <c r="C63" s="176"/>
      <c r="D63" s="51">
        <f t="shared" si="12"/>
        <v>211721.67333333334</v>
      </c>
      <c r="E63" s="180"/>
      <c r="F63" s="180"/>
      <c r="G63" s="180">
        <f>P54/1.6</f>
        <v>132326.04583333334</v>
      </c>
      <c r="H63" s="162"/>
      <c r="I63" s="79">
        <v>30</v>
      </c>
      <c r="J63" s="51">
        <f t="shared" si="13"/>
        <v>39697.813750000001</v>
      </c>
      <c r="K63" s="79">
        <v>30</v>
      </c>
      <c r="L63" s="51">
        <f>(E63+F63+G63)*K63/100</f>
        <v>39697.813750000001</v>
      </c>
      <c r="M63" s="51">
        <f t="shared" si="15"/>
        <v>2540660.08</v>
      </c>
      <c r="O63" s="162" t="s">
        <v>434</v>
      </c>
      <c r="P63" s="162" t="s">
        <v>435</v>
      </c>
    </row>
    <row r="64" spans="1:16" x14ac:dyDescent="0.2">
      <c r="A64" s="31" t="s">
        <v>136</v>
      </c>
      <c r="B64" s="104">
        <v>9000</v>
      </c>
      <c r="C64" s="104" t="s">
        <v>12</v>
      </c>
      <c r="D64" s="51">
        <f>SUM(D51:D63)</f>
        <v>484358.23333333334</v>
      </c>
      <c r="E64" s="51">
        <f>SUM(E51:E63)</f>
        <v>74941</v>
      </c>
      <c r="F64" s="51">
        <f>SUM(F51:F63)</f>
        <v>6311.54</v>
      </c>
      <c r="G64" s="51">
        <f>SUM(G51:G63)</f>
        <v>179862.65583333332</v>
      </c>
      <c r="H64" s="162"/>
      <c r="I64" s="51"/>
      <c r="J64" s="51">
        <f>SUM(J51:J63)</f>
        <v>90817.168749999997</v>
      </c>
      <c r="K64" s="51"/>
      <c r="L64" s="51">
        <f>SUM(L51:L63)</f>
        <v>90817.168749999997</v>
      </c>
      <c r="M64" s="150">
        <f>SUM(M51:M63)</f>
        <v>5812298.7999999998</v>
      </c>
      <c r="O64" s="162">
        <v>0</v>
      </c>
      <c r="P64" s="185">
        <f>M64-O64</f>
        <v>5812298.7999999998</v>
      </c>
    </row>
    <row r="65" spans="1:18" hidden="1" x14ac:dyDescent="0.2">
      <c r="A65" s="133"/>
      <c r="B65" s="108"/>
      <c r="C65" s="108"/>
      <c r="D65" s="187"/>
      <c r="E65" s="187"/>
      <c r="F65" s="187"/>
      <c r="G65" s="187"/>
      <c r="H65" s="188"/>
      <c r="I65" s="187"/>
      <c r="J65" s="187"/>
      <c r="K65" s="187"/>
      <c r="L65" s="187"/>
      <c r="M65" s="189"/>
      <c r="O65" s="190"/>
      <c r="P65" s="140"/>
    </row>
    <row r="66" spans="1:18" ht="12.75" hidden="1" customHeight="1" x14ac:dyDescent="0.2">
      <c r="A66" s="247" t="s">
        <v>474</v>
      </c>
      <c r="B66" s="247"/>
      <c r="C66" s="247"/>
      <c r="D66" s="247"/>
      <c r="E66" s="247"/>
      <c r="F66" s="247"/>
      <c r="G66" s="247"/>
      <c r="H66" s="188"/>
      <c r="I66" s="187"/>
      <c r="J66" s="187"/>
      <c r="K66" s="187"/>
      <c r="L66" s="187"/>
      <c r="M66" s="189"/>
      <c r="O66" s="190"/>
      <c r="P66" s="140"/>
    </row>
    <row r="67" spans="1:18" ht="12.75" hidden="1" customHeight="1" x14ac:dyDescent="0.2">
      <c r="A67" s="237" t="s">
        <v>185</v>
      </c>
      <c r="B67" s="237" t="s">
        <v>1</v>
      </c>
      <c r="C67" s="237" t="s">
        <v>186</v>
      </c>
      <c r="D67" s="237" t="s">
        <v>187</v>
      </c>
      <c r="E67" s="237"/>
      <c r="F67" s="237"/>
      <c r="G67" s="237"/>
      <c r="H67" s="237"/>
      <c r="I67" s="237"/>
      <c r="J67" s="237"/>
      <c r="K67" s="237"/>
      <c r="L67" s="237"/>
      <c r="M67" s="239" t="s">
        <v>188</v>
      </c>
      <c r="N67" s="140"/>
      <c r="O67" s="140"/>
      <c r="P67" s="140"/>
    </row>
    <row r="68" spans="1:18" hidden="1" x14ac:dyDescent="0.2">
      <c r="A68" s="237"/>
      <c r="B68" s="237"/>
      <c r="C68" s="237"/>
      <c r="D68" s="237" t="s">
        <v>189</v>
      </c>
      <c r="E68" s="237" t="s">
        <v>15</v>
      </c>
      <c r="F68" s="237"/>
      <c r="G68" s="237"/>
      <c r="H68" s="237"/>
      <c r="I68" s="237"/>
      <c r="J68" s="237"/>
      <c r="K68" s="237"/>
      <c r="L68" s="237"/>
      <c r="M68" s="240"/>
      <c r="N68" s="140"/>
      <c r="O68" s="140"/>
      <c r="P68" s="140"/>
    </row>
    <row r="69" spans="1:18" ht="37.5" hidden="1" customHeight="1" x14ac:dyDescent="0.2">
      <c r="A69" s="237"/>
      <c r="B69" s="237"/>
      <c r="C69" s="237"/>
      <c r="D69" s="237"/>
      <c r="E69" s="237" t="s">
        <v>190</v>
      </c>
      <c r="F69" s="237" t="s">
        <v>191</v>
      </c>
      <c r="G69" s="237" t="s">
        <v>431</v>
      </c>
      <c r="H69" s="248" t="s">
        <v>396</v>
      </c>
      <c r="I69" s="104" t="s">
        <v>193</v>
      </c>
      <c r="J69" s="104"/>
      <c r="K69" s="104" t="s">
        <v>194</v>
      </c>
      <c r="L69" s="104"/>
      <c r="M69" s="240"/>
      <c r="N69" s="140"/>
      <c r="O69" s="140"/>
      <c r="P69" s="140"/>
    </row>
    <row r="70" spans="1:18" ht="38.25" hidden="1" x14ac:dyDescent="0.2">
      <c r="A70" s="237"/>
      <c r="B70" s="237"/>
      <c r="C70" s="237"/>
      <c r="D70" s="237"/>
      <c r="E70" s="237"/>
      <c r="F70" s="237"/>
      <c r="G70" s="237"/>
      <c r="H70" s="248"/>
      <c r="I70" s="104" t="s">
        <v>195</v>
      </c>
      <c r="J70" s="104" t="s">
        <v>196</v>
      </c>
      <c r="K70" s="104" t="s">
        <v>195</v>
      </c>
      <c r="L70" s="104" t="s">
        <v>197</v>
      </c>
      <c r="M70" s="241"/>
      <c r="O70" s="140"/>
      <c r="P70" s="140"/>
    </row>
    <row r="71" spans="1:18" hidden="1" x14ac:dyDescent="0.2">
      <c r="A71" s="104">
        <v>1</v>
      </c>
      <c r="B71" s="104">
        <f t="shared" ref="B71:M71" si="17">A71+1</f>
        <v>2</v>
      </c>
      <c r="C71" s="104">
        <f t="shared" si="17"/>
        <v>3</v>
      </c>
      <c r="D71" s="104">
        <f t="shared" si="17"/>
        <v>4</v>
      </c>
      <c r="E71" s="104">
        <f t="shared" si="17"/>
        <v>5</v>
      </c>
      <c r="F71" s="104">
        <f t="shared" si="17"/>
        <v>6</v>
      </c>
      <c r="G71" s="104">
        <f t="shared" si="17"/>
        <v>7</v>
      </c>
      <c r="H71" s="104">
        <f t="shared" si="17"/>
        <v>8</v>
      </c>
      <c r="I71" s="104">
        <f t="shared" si="17"/>
        <v>9</v>
      </c>
      <c r="J71" s="104">
        <f t="shared" si="17"/>
        <v>10</v>
      </c>
      <c r="K71" s="104">
        <f t="shared" si="17"/>
        <v>11</v>
      </c>
      <c r="L71" s="104">
        <f t="shared" si="17"/>
        <v>12</v>
      </c>
      <c r="M71" s="104">
        <f t="shared" si="17"/>
        <v>13</v>
      </c>
      <c r="O71" s="162" t="s">
        <v>434</v>
      </c>
      <c r="P71" s="162" t="s">
        <v>435</v>
      </c>
    </row>
    <row r="72" spans="1:18" hidden="1" x14ac:dyDescent="0.2">
      <c r="A72" s="173"/>
      <c r="B72" s="104"/>
      <c r="C72" s="176"/>
      <c r="D72" s="51"/>
      <c r="E72" s="179"/>
      <c r="F72" s="180"/>
      <c r="G72" s="180"/>
      <c r="H72" s="162"/>
      <c r="I72" s="79"/>
      <c r="J72" s="51"/>
      <c r="K72" s="79"/>
      <c r="L72" s="51"/>
      <c r="M72" s="150">
        <v>0</v>
      </c>
      <c r="O72" s="162">
        <v>0</v>
      </c>
      <c r="P72" s="185">
        <f>M72-O72</f>
        <v>0</v>
      </c>
    </row>
    <row r="73" spans="1:18" x14ac:dyDescent="0.2">
      <c r="M73" s="139"/>
      <c r="O73" s="140"/>
      <c r="P73" s="140"/>
    </row>
    <row r="74" spans="1:18" x14ac:dyDescent="0.2">
      <c r="A74" s="95" t="str">
        <f>'3.13.1'!M9</f>
        <v>0701 4200099000 853</v>
      </c>
    </row>
    <row r="75" spans="1:18" ht="77.25" customHeight="1" x14ac:dyDescent="0.2">
      <c r="A75" s="181" t="s">
        <v>409</v>
      </c>
      <c r="B75" s="104" t="s">
        <v>1</v>
      </c>
      <c r="C75" s="181" t="s">
        <v>310</v>
      </c>
      <c r="D75" s="181" t="s">
        <v>311</v>
      </c>
      <c r="F75" s="246"/>
      <c r="G75" s="246"/>
      <c r="H75" s="246"/>
      <c r="I75" s="246"/>
      <c r="J75" s="246"/>
      <c r="K75" s="246"/>
      <c r="L75" s="246"/>
      <c r="M75" s="246"/>
      <c r="N75" s="246"/>
      <c r="O75" s="246"/>
      <c r="P75" s="246"/>
      <c r="Q75" s="246"/>
      <c r="R75" s="246"/>
    </row>
    <row r="76" spans="1:18" ht="25.5" x14ac:dyDescent="0.2">
      <c r="A76" s="182" t="s">
        <v>492</v>
      </c>
      <c r="B76" s="31">
        <v>1</v>
      </c>
      <c r="C76" s="116">
        <f>D76/5</f>
        <v>10677.119999999999</v>
      </c>
      <c r="D76" s="183">
        <v>53385.599999999999</v>
      </c>
    </row>
    <row r="77" spans="1:18" ht="25.5" x14ac:dyDescent="0.2">
      <c r="A77" s="182" t="s">
        <v>483</v>
      </c>
      <c r="B77" s="31">
        <f>B76+1</f>
        <v>2</v>
      </c>
      <c r="C77" s="116">
        <f t="shared" ref="C77:C86" si="18">D77/5</f>
        <v>8709</v>
      </c>
      <c r="D77" s="183">
        <v>43545</v>
      </c>
    </row>
    <row r="78" spans="1:18" ht="25.5" x14ac:dyDescent="0.2">
      <c r="A78" s="182" t="s">
        <v>484</v>
      </c>
      <c r="B78" s="31">
        <f t="shared" ref="B78:B86" si="19">B77+1</f>
        <v>3</v>
      </c>
      <c r="C78" s="116">
        <f t="shared" si="18"/>
        <v>21046.75</v>
      </c>
      <c r="D78" s="183">
        <f>50802.5+36287.5+18143.75</f>
        <v>105233.75</v>
      </c>
    </row>
    <row r="79" spans="1:18" x14ac:dyDescent="0.2">
      <c r="A79" s="182" t="s">
        <v>485</v>
      </c>
      <c r="B79" s="31">
        <f t="shared" si="19"/>
        <v>4</v>
      </c>
      <c r="C79" s="116">
        <f t="shared" si="18"/>
        <v>17418</v>
      </c>
      <c r="D79" s="183">
        <v>87090</v>
      </c>
    </row>
    <row r="80" spans="1:18" x14ac:dyDescent="0.2">
      <c r="A80" s="182" t="s">
        <v>486</v>
      </c>
      <c r="B80" s="31">
        <f t="shared" si="19"/>
        <v>5</v>
      </c>
      <c r="C80" s="116">
        <f t="shared" si="18"/>
        <v>29030</v>
      </c>
      <c r="D80" s="183">
        <v>145150</v>
      </c>
    </row>
    <row r="81" spans="1:16" x14ac:dyDescent="0.2">
      <c r="A81" s="184" t="s">
        <v>487</v>
      </c>
      <c r="B81" s="31">
        <f t="shared" si="19"/>
        <v>6</v>
      </c>
      <c r="C81" s="116">
        <f t="shared" si="18"/>
        <v>7465</v>
      </c>
      <c r="D81" s="183">
        <v>37325</v>
      </c>
    </row>
    <row r="82" spans="1:16" x14ac:dyDescent="0.2">
      <c r="A82" s="184" t="s">
        <v>488</v>
      </c>
      <c r="B82" s="31">
        <f t="shared" si="19"/>
        <v>7</v>
      </c>
      <c r="C82" s="116">
        <f t="shared" si="18"/>
        <v>8709</v>
      </c>
      <c r="D82" s="183">
        <v>43545</v>
      </c>
    </row>
    <row r="83" spans="1:16" ht="38.25" x14ac:dyDescent="0.2">
      <c r="A83" s="184" t="s">
        <v>489</v>
      </c>
      <c r="B83" s="31">
        <f t="shared" si="19"/>
        <v>8</v>
      </c>
      <c r="C83" s="116">
        <f t="shared" si="18"/>
        <v>7257.5</v>
      </c>
      <c r="D83" s="183">
        <v>36287.5</v>
      </c>
    </row>
    <row r="84" spans="1:16" ht="38.25" x14ac:dyDescent="0.2">
      <c r="A84" s="184" t="s">
        <v>490</v>
      </c>
      <c r="B84" s="31">
        <f t="shared" si="19"/>
        <v>9</v>
      </c>
      <c r="C84" s="116">
        <f t="shared" si="18"/>
        <v>5598.75</v>
      </c>
      <c r="D84" s="183">
        <v>27993.75</v>
      </c>
    </row>
    <row r="85" spans="1:16" x14ac:dyDescent="0.2">
      <c r="A85" s="184" t="s">
        <v>499</v>
      </c>
      <c r="B85" s="31">
        <f t="shared" si="19"/>
        <v>10</v>
      </c>
      <c r="C85" s="116">
        <f t="shared" si="18"/>
        <v>20016</v>
      </c>
      <c r="D85" s="183">
        <v>100080</v>
      </c>
    </row>
    <row r="86" spans="1:16" ht="38.25" x14ac:dyDescent="0.2">
      <c r="A86" s="184" t="s">
        <v>491</v>
      </c>
      <c r="B86" s="31">
        <f t="shared" si="19"/>
        <v>11</v>
      </c>
      <c r="C86" s="116">
        <f t="shared" si="18"/>
        <v>26692.799999999999</v>
      </c>
      <c r="D86" s="183">
        <v>133464</v>
      </c>
      <c r="O86" s="162" t="s">
        <v>434</v>
      </c>
      <c r="P86" s="162" t="s">
        <v>435</v>
      </c>
    </row>
    <row r="87" spans="1:16" x14ac:dyDescent="0.2">
      <c r="A87" s="111" t="s">
        <v>312</v>
      </c>
      <c r="B87" s="111">
        <v>9000</v>
      </c>
      <c r="C87" s="116"/>
      <c r="D87" s="56">
        <f>SUM(D76:D86)</f>
        <v>813099.6</v>
      </c>
      <c r="O87" s="162">
        <v>0</v>
      </c>
      <c r="P87" s="185">
        <f>D87-O87</f>
        <v>813099.6</v>
      </c>
    </row>
    <row r="88" spans="1:16" x14ac:dyDescent="0.2">
      <c r="O88" s="80">
        <f>O87+O64+O35+O16+O43+O72</f>
        <v>0</v>
      </c>
      <c r="P88" s="80">
        <f>P87+P64+P35+P16+P43+P72</f>
        <v>23006343.399999999</v>
      </c>
    </row>
  </sheetData>
  <mergeCells count="65">
    <mergeCell ref="A46:A49"/>
    <mergeCell ref="B46:B49"/>
    <mergeCell ref="C46:C49"/>
    <mergeCell ref="D47:D49"/>
    <mergeCell ref="E48:E49"/>
    <mergeCell ref="D46:L46"/>
    <mergeCell ref="E47:L47"/>
    <mergeCell ref="D19:M19"/>
    <mergeCell ref="H21:H22"/>
    <mergeCell ref="I21:I22"/>
    <mergeCell ref="F75:R75"/>
    <mergeCell ref="F48:F49"/>
    <mergeCell ref="G48:G49"/>
    <mergeCell ref="H48:H49"/>
    <mergeCell ref="M46:M49"/>
    <mergeCell ref="D20:D22"/>
    <mergeCell ref="E20:M20"/>
    <mergeCell ref="E21:E22"/>
    <mergeCell ref="F21:F22"/>
    <mergeCell ref="G21:G22"/>
    <mergeCell ref="J21:K21"/>
    <mergeCell ref="L21:M21"/>
    <mergeCell ref="A37:E37"/>
    <mergeCell ref="A19:A22"/>
    <mergeCell ref="B19:B22"/>
    <mergeCell ref="C19:C22"/>
    <mergeCell ref="A1:N1"/>
    <mergeCell ref="L4:L7"/>
    <mergeCell ref="D5:D7"/>
    <mergeCell ref="E6:E7"/>
    <mergeCell ref="F6:F7"/>
    <mergeCell ref="G6:G7"/>
    <mergeCell ref="J6:K6"/>
    <mergeCell ref="D4:K4"/>
    <mergeCell ref="E5:K5"/>
    <mergeCell ref="A4:A7"/>
    <mergeCell ref="B4:B7"/>
    <mergeCell ref="C4:C7"/>
    <mergeCell ref="N19:N22"/>
    <mergeCell ref="A38:A41"/>
    <mergeCell ref="B38:B41"/>
    <mergeCell ref="C38:C41"/>
    <mergeCell ref="D38:M38"/>
    <mergeCell ref="N38:N41"/>
    <mergeCell ref="D39:D41"/>
    <mergeCell ref="E39:M39"/>
    <mergeCell ref="E40:E41"/>
    <mergeCell ref="F40:F41"/>
    <mergeCell ref="G40:G41"/>
    <mergeCell ref="H40:H41"/>
    <mergeCell ref="I40:I41"/>
    <mergeCell ref="J40:K40"/>
    <mergeCell ref="L40:M40"/>
    <mergeCell ref="M67:M70"/>
    <mergeCell ref="D68:D70"/>
    <mergeCell ref="E68:L68"/>
    <mergeCell ref="E69:E70"/>
    <mergeCell ref="F69:F70"/>
    <mergeCell ref="G69:G70"/>
    <mergeCell ref="H69:H70"/>
    <mergeCell ref="A67:A70"/>
    <mergeCell ref="B67:B70"/>
    <mergeCell ref="C67:C70"/>
    <mergeCell ref="D67:L67"/>
    <mergeCell ref="A66:G66"/>
  </mergeCells>
  <pageMargins left="0.51181102362204722" right="0.51181102362204722" top="0.74803149606299213" bottom="0.35433070866141736" header="0.11811023622047245" footer="0.11811023622047245"/>
  <pageSetup paperSize="9" scale="74" fitToHeight="3" orientation="landscape" r:id="rId1"/>
  <rowBreaks count="1" manualBreakCount="1">
    <brk id="43" max="13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</sheetPr>
  <dimension ref="A1:P72"/>
  <sheetViews>
    <sheetView view="pageBreakPreview" zoomScaleNormal="100" zoomScaleSheetLayoutView="100" workbookViewId="0">
      <selection activeCell="F68" sqref="F68"/>
    </sheetView>
  </sheetViews>
  <sheetFormatPr defaultColWidth="9.140625" defaultRowHeight="12.75" x14ac:dyDescent="0.2"/>
  <cols>
    <col min="1" max="1" width="19.85546875" style="30" customWidth="1"/>
    <col min="2" max="3" width="9.140625" style="30"/>
    <col min="4" max="13" width="13" style="30" customWidth="1"/>
    <col min="14" max="14" width="14.85546875" style="30" customWidth="1"/>
    <col min="15" max="15" width="21.28515625" style="30" customWidth="1"/>
    <col min="16" max="16" width="16.28515625" style="30" customWidth="1"/>
    <col min="17" max="16384" width="9.140625" style="30"/>
  </cols>
  <sheetData>
    <row r="1" spans="1:16" ht="31.5" customHeight="1" x14ac:dyDescent="0.2">
      <c r="A1" s="246" t="s">
        <v>511</v>
      </c>
      <c r="B1" s="246"/>
      <c r="C1" s="246"/>
      <c r="D1" s="246"/>
      <c r="E1" s="246"/>
      <c r="F1" s="246"/>
      <c r="G1" s="246"/>
      <c r="H1" s="246"/>
      <c r="I1" s="246"/>
      <c r="J1" s="246"/>
      <c r="K1" s="246"/>
      <c r="L1" s="246"/>
      <c r="M1" s="246"/>
      <c r="N1" s="246"/>
    </row>
    <row r="3" spans="1:16" x14ac:dyDescent="0.2">
      <c r="A3" s="95" t="str">
        <f>'3.13.1'!D9</f>
        <v>0701 0210080610 621</v>
      </c>
      <c r="M3" s="140"/>
      <c r="N3" s="140"/>
    </row>
    <row r="4" spans="1:16" ht="12.75" customHeight="1" x14ac:dyDescent="0.2">
      <c r="A4" s="239" t="s">
        <v>185</v>
      </c>
      <c r="B4" s="239" t="s">
        <v>1</v>
      </c>
      <c r="C4" s="239" t="s">
        <v>186</v>
      </c>
      <c r="D4" s="251" t="s">
        <v>187</v>
      </c>
      <c r="E4" s="252"/>
      <c r="F4" s="252"/>
      <c r="G4" s="252"/>
      <c r="H4" s="252"/>
      <c r="I4" s="252"/>
      <c r="J4" s="252"/>
      <c r="K4" s="253"/>
      <c r="L4" s="239" t="s">
        <v>188</v>
      </c>
      <c r="M4" s="133"/>
      <c r="N4" s="140"/>
    </row>
    <row r="5" spans="1:16" ht="12.75" customHeight="1" x14ac:dyDescent="0.2">
      <c r="A5" s="240"/>
      <c r="B5" s="240"/>
      <c r="C5" s="240"/>
      <c r="D5" s="239" t="s">
        <v>189</v>
      </c>
      <c r="E5" s="251" t="s">
        <v>15</v>
      </c>
      <c r="F5" s="252"/>
      <c r="G5" s="252"/>
      <c r="H5" s="252"/>
      <c r="I5" s="252"/>
      <c r="J5" s="252"/>
      <c r="K5" s="253"/>
      <c r="L5" s="240"/>
      <c r="M5" s="133"/>
      <c r="N5" s="140"/>
    </row>
    <row r="6" spans="1:16" ht="12.75" customHeight="1" x14ac:dyDescent="0.2">
      <c r="A6" s="240"/>
      <c r="B6" s="240"/>
      <c r="C6" s="240"/>
      <c r="D6" s="240"/>
      <c r="E6" s="239" t="s">
        <v>190</v>
      </c>
      <c r="F6" s="239" t="s">
        <v>191</v>
      </c>
      <c r="G6" s="239" t="s">
        <v>192</v>
      </c>
      <c r="H6" s="104" t="s">
        <v>193</v>
      </c>
      <c r="I6" s="104"/>
      <c r="J6" s="251" t="s">
        <v>194</v>
      </c>
      <c r="K6" s="253"/>
      <c r="L6" s="240"/>
      <c r="M6" s="140"/>
      <c r="N6" s="140"/>
    </row>
    <row r="7" spans="1:16" ht="38.25" x14ac:dyDescent="0.2">
      <c r="A7" s="241"/>
      <c r="B7" s="241"/>
      <c r="C7" s="241"/>
      <c r="D7" s="241"/>
      <c r="E7" s="241"/>
      <c r="F7" s="241"/>
      <c r="G7" s="241"/>
      <c r="H7" s="104" t="s">
        <v>195</v>
      </c>
      <c r="I7" s="104" t="s">
        <v>196</v>
      </c>
      <c r="J7" s="104" t="s">
        <v>195</v>
      </c>
      <c r="K7" s="104" t="s">
        <v>197</v>
      </c>
      <c r="L7" s="241"/>
      <c r="M7" s="140"/>
      <c r="N7" s="140"/>
    </row>
    <row r="8" spans="1:16" x14ac:dyDescent="0.2">
      <c r="A8" s="104">
        <v>1</v>
      </c>
      <c r="B8" s="104">
        <v>2</v>
      </c>
      <c r="C8" s="104">
        <v>3</v>
      </c>
      <c r="D8" s="104">
        <v>4</v>
      </c>
      <c r="E8" s="104">
        <v>5</v>
      </c>
      <c r="F8" s="104">
        <v>6</v>
      </c>
      <c r="G8" s="104">
        <v>7</v>
      </c>
      <c r="H8" s="104">
        <v>8</v>
      </c>
      <c r="I8" s="104">
        <v>9</v>
      </c>
      <c r="J8" s="104">
        <v>10</v>
      </c>
      <c r="K8" s="104">
        <v>11</v>
      </c>
      <c r="L8" s="104">
        <v>12</v>
      </c>
      <c r="O8" s="111" t="s">
        <v>384</v>
      </c>
      <c r="P8" s="116">
        <v>2160200</v>
      </c>
    </row>
    <row r="9" spans="1:16" x14ac:dyDescent="0.2">
      <c r="A9" s="171" t="s">
        <v>379</v>
      </c>
      <c r="B9" s="104">
        <v>1</v>
      </c>
      <c r="C9" s="167">
        <v>0.5</v>
      </c>
      <c r="D9" s="77">
        <f t="shared" ref="D9:D14" si="0">(C9*E9)+F9+G9+I9+K9</f>
        <v>2629.9520000000002</v>
      </c>
      <c r="E9" s="172">
        <v>3016</v>
      </c>
      <c r="F9" s="77">
        <v>60.32</v>
      </c>
      <c r="G9" s="77">
        <v>75.400000000000006</v>
      </c>
      <c r="H9" s="41">
        <v>30</v>
      </c>
      <c r="I9" s="77">
        <f>((C9*E9)+F9+G9)*30/100</f>
        <v>493.11599999999999</v>
      </c>
      <c r="J9" s="41">
        <v>30</v>
      </c>
      <c r="K9" s="77">
        <f>I9</f>
        <v>493.11599999999999</v>
      </c>
      <c r="L9" s="77">
        <f t="shared" ref="L9:L15" si="1">D9*12</f>
        <v>31559.424000000003</v>
      </c>
      <c r="O9" s="111" t="s">
        <v>387</v>
      </c>
      <c r="P9" s="116">
        <f>P8/12</f>
        <v>180016.66666666666</v>
      </c>
    </row>
    <row r="10" spans="1:16" x14ac:dyDescent="0.2">
      <c r="A10" s="171" t="s">
        <v>380</v>
      </c>
      <c r="B10" s="104">
        <f t="shared" ref="B10:B15" si="2">B9+1</f>
        <v>2</v>
      </c>
      <c r="C10" s="167">
        <v>1</v>
      </c>
      <c r="D10" s="77">
        <f t="shared" si="0"/>
        <v>6707.5840000000007</v>
      </c>
      <c r="E10" s="172">
        <v>3016</v>
      </c>
      <c r="F10" s="77">
        <v>120.64</v>
      </c>
      <c r="G10" s="77">
        <v>1055.5999999999999</v>
      </c>
      <c r="H10" s="41">
        <v>30</v>
      </c>
      <c r="I10" s="77">
        <f t="shared" ref="I10:I15" si="3">((C10*E10)+F10+G10)*30/100</f>
        <v>1257.672</v>
      </c>
      <c r="J10" s="41">
        <v>30</v>
      </c>
      <c r="K10" s="77">
        <f>I10</f>
        <v>1257.672</v>
      </c>
      <c r="L10" s="77">
        <f t="shared" si="1"/>
        <v>80491.008000000002</v>
      </c>
      <c r="O10" s="111" t="s">
        <v>385</v>
      </c>
      <c r="P10" s="116">
        <f>D9+D10+D11+D12+D13+D14</f>
        <v>67616.127999999982</v>
      </c>
    </row>
    <row r="11" spans="1:16" x14ac:dyDescent="0.2">
      <c r="A11" s="171" t="s">
        <v>381</v>
      </c>
      <c r="B11" s="104">
        <f t="shared" si="2"/>
        <v>3</v>
      </c>
      <c r="C11" s="167">
        <v>3</v>
      </c>
      <c r="D11" s="77">
        <f t="shared" si="0"/>
        <v>23987.151999999998</v>
      </c>
      <c r="E11" s="172">
        <v>3511</v>
      </c>
      <c r="F11" s="77">
        <v>421.32</v>
      </c>
      <c r="G11" s="77">
        <v>4037.65</v>
      </c>
      <c r="H11" s="41">
        <v>30</v>
      </c>
      <c r="I11" s="77">
        <f t="shared" si="3"/>
        <v>4497.5909999999994</v>
      </c>
      <c r="J11" s="41">
        <v>30</v>
      </c>
      <c r="K11" s="77">
        <f>I11</f>
        <v>4497.5909999999994</v>
      </c>
      <c r="L11" s="77">
        <f t="shared" si="1"/>
        <v>287845.82399999996</v>
      </c>
      <c r="O11" s="111" t="s">
        <v>386</v>
      </c>
      <c r="P11" s="116">
        <f>P9-P10</f>
        <v>112400.53866666667</v>
      </c>
    </row>
    <row r="12" spans="1:16" ht="25.5" x14ac:dyDescent="0.2">
      <c r="A12" s="171" t="s">
        <v>382</v>
      </c>
      <c r="B12" s="104">
        <f t="shared" si="2"/>
        <v>4</v>
      </c>
      <c r="C12" s="167">
        <v>3</v>
      </c>
      <c r="D12" s="77">
        <f t="shared" si="0"/>
        <v>16262.271999999999</v>
      </c>
      <c r="E12" s="172">
        <v>3016</v>
      </c>
      <c r="F12" s="77">
        <v>361.92</v>
      </c>
      <c r="G12" s="77">
        <v>754</v>
      </c>
      <c r="H12" s="41">
        <v>30</v>
      </c>
      <c r="I12" s="77">
        <f t="shared" si="3"/>
        <v>3049.1759999999999</v>
      </c>
      <c r="J12" s="41">
        <v>30</v>
      </c>
      <c r="K12" s="77">
        <f>I12</f>
        <v>3049.1759999999999</v>
      </c>
      <c r="L12" s="77">
        <f t="shared" si="1"/>
        <v>195147.264</v>
      </c>
    </row>
    <row r="13" spans="1:16" x14ac:dyDescent="0.2">
      <c r="A13" s="173" t="s">
        <v>383</v>
      </c>
      <c r="B13" s="104">
        <f t="shared" si="2"/>
        <v>5</v>
      </c>
      <c r="C13" s="167">
        <v>1</v>
      </c>
      <c r="D13" s="77">
        <f>(C13*E13)+F13+G13+I13+K13</f>
        <v>11966.975999999999</v>
      </c>
      <c r="E13" s="172">
        <v>4704</v>
      </c>
      <c r="F13" s="77">
        <v>188.16</v>
      </c>
      <c r="G13" s="77">
        <v>2587.1999999999998</v>
      </c>
      <c r="H13" s="41">
        <v>30</v>
      </c>
      <c r="I13" s="77">
        <f t="shared" si="3"/>
        <v>2243.808</v>
      </c>
      <c r="J13" s="41">
        <v>30</v>
      </c>
      <c r="K13" s="77">
        <f>I13</f>
        <v>2243.808</v>
      </c>
      <c r="L13" s="77">
        <f t="shared" si="1"/>
        <v>143603.712</v>
      </c>
    </row>
    <row r="14" spans="1:16" x14ac:dyDescent="0.2">
      <c r="A14" s="173" t="s">
        <v>286</v>
      </c>
      <c r="B14" s="104">
        <f t="shared" si="2"/>
        <v>6</v>
      </c>
      <c r="C14" s="167"/>
      <c r="D14" s="77">
        <f t="shared" si="0"/>
        <v>6062.192</v>
      </c>
      <c r="E14" s="172"/>
      <c r="F14" s="77"/>
      <c r="G14" s="77">
        <v>3788.87</v>
      </c>
      <c r="H14" s="41">
        <v>30</v>
      </c>
      <c r="I14" s="77">
        <f t="shared" si="3"/>
        <v>1136.6609999999998</v>
      </c>
      <c r="J14" s="41">
        <v>30</v>
      </c>
      <c r="K14" s="77">
        <f>((C14*E14)+F14+G14)*J14/100</f>
        <v>1136.6609999999998</v>
      </c>
      <c r="L14" s="77">
        <f t="shared" si="1"/>
        <v>72746.304000000004</v>
      </c>
    </row>
    <row r="15" spans="1:16" x14ac:dyDescent="0.2">
      <c r="A15" s="173" t="s">
        <v>285</v>
      </c>
      <c r="B15" s="104">
        <f t="shared" si="2"/>
        <v>7</v>
      </c>
      <c r="C15" s="167"/>
      <c r="D15" s="77">
        <f>(C15*E15)+F15+G15+I15+K15</f>
        <v>112400.53866666666</v>
      </c>
      <c r="E15" s="172"/>
      <c r="F15" s="77"/>
      <c r="G15" s="77">
        <f>P11/1.6</f>
        <v>70250.33666666667</v>
      </c>
      <c r="H15" s="41">
        <v>30</v>
      </c>
      <c r="I15" s="77">
        <f t="shared" si="3"/>
        <v>21075.101000000002</v>
      </c>
      <c r="J15" s="41">
        <v>30</v>
      </c>
      <c r="K15" s="77">
        <f>((C15*E15)+F15+G15)*J15/100</f>
        <v>21075.101000000002</v>
      </c>
      <c r="L15" s="77">
        <f t="shared" si="1"/>
        <v>1348806.4639999999</v>
      </c>
    </row>
    <row r="16" spans="1:16" x14ac:dyDescent="0.2">
      <c r="A16" s="31" t="s">
        <v>136</v>
      </c>
      <c r="B16" s="104">
        <v>9000</v>
      </c>
      <c r="C16" s="104" t="s">
        <v>12</v>
      </c>
      <c r="D16" s="77">
        <f>SUM(D9:D15)</f>
        <v>180016.66666666663</v>
      </c>
      <c r="E16" s="172"/>
      <c r="F16" s="77">
        <f>SUM(F9:F15)</f>
        <v>1152.3600000000001</v>
      </c>
      <c r="G16" s="77">
        <f>SUM(G9:G15)</f>
        <v>82549.056666666671</v>
      </c>
      <c r="H16" s="77"/>
      <c r="I16" s="77">
        <f>SUM(I9:I15)</f>
        <v>33753.125</v>
      </c>
      <c r="J16" s="77"/>
      <c r="K16" s="77">
        <f>SUM(K9:K15)</f>
        <v>33753.125</v>
      </c>
      <c r="L16" s="78">
        <f>SUM(L9:L15)</f>
        <v>2160200</v>
      </c>
    </row>
    <row r="18" spans="1:16" x14ac:dyDescent="0.2">
      <c r="A18" s="95" t="str">
        <f>'3.13.1'!I9</f>
        <v>0701 0210075880 621</v>
      </c>
    </row>
    <row r="19" spans="1:16" x14ac:dyDescent="0.2">
      <c r="A19" s="237" t="s">
        <v>185</v>
      </c>
      <c r="B19" s="237" t="s">
        <v>1</v>
      </c>
      <c r="C19" s="237" t="s">
        <v>186</v>
      </c>
      <c r="D19" s="237" t="s">
        <v>187</v>
      </c>
      <c r="E19" s="237"/>
      <c r="F19" s="237"/>
      <c r="G19" s="237"/>
      <c r="H19" s="237"/>
      <c r="I19" s="237"/>
      <c r="J19" s="237"/>
      <c r="K19" s="237"/>
      <c r="L19" s="237"/>
      <c r="M19" s="237"/>
      <c r="N19" s="237" t="s">
        <v>188</v>
      </c>
    </row>
    <row r="20" spans="1:16" x14ac:dyDescent="0.2">
      <c r="A20" s="237"/>
      <c r="B20" s="237"/>
      <c r="C20" s="237"/>
      <c r="D20" s="237" t="s">
        <v>189</v>
      </c>
      <c r="E20" s="237" t="s">
        <v>15</v>
      </c>
      <c r="F20" s="237"/>
      <c r="G20" s="237"/>
      <c r="H20" s="237"/>
      <c r="I20" s="237"/>
      <c r="J20" s="237"/>
      <c r="K20" s="237"/>
      <c r="L20" s="237"/>
      <c r="M20" s="237"/>
      <c r="N20" s="237"/>
    </row>
    <row r="21" spans="1:16" x14ac:dyDescent="0.2">
      <c r="A21" s="237"/>
      <c r="B21" s="237"/>
      <c r="C21" s="237"/>
      <c r="D21" s="237"/>
      <c r="E21" s="237" t="s">
        <v>190</v>
      </c>
      <c r="F21" s="237" t="s">
        <v>191</v>
      </c>
      <c r="G21" s="237" t="s">
        <v>192</v>
      </c>
      <c r="H21" s="239" t="s">
        <v>396</v>
      </c>
      <c r="I21" s="239" t="s">
        <v>397</v>
      </c>
      <c r="J21" s="237" t="s">
        <v>193</v>
      </c>
      <c r="K21" s="237"/>
      <c r="L21" s="237" t="s">
        <v>194</v>
      </c>
      <c r="M21" s="237"/>
      <c r="N21" s="237"/>
    </row>
    <row r="22" spans="1:16" ht="38.25" x14ac:dyDescent="0.2">
      <c r="A22" s="237"/>
      <c r="B22" s="237"/>
      <c r="C22" s="237"/>
      <c r="D22" s="237"/>
      <c r="E22" s="237"/>
      <c r="F22" s="237"/>
      <c r="G22" s="237"/>
      <c r="H22" s="241"/>
      <c r="I22" s="241"/>
      <c r="J22" s="104" t="s">
        <v>195</v>
      </c>
      <c r="K22" s="104" t="s">
        <v>196</v>
      </c>
      <c r="L22" s="104" t="s">
        <v>195</v>
      </c>
      <c r="M22" s="104" t="s">
        <v>197</v>
      </c>
      <c r="N22" s="237"/>
    </row>
    <row r="23" spans="1:16" x14ac:dyDescent="0.2">
      <c r="A23" s="104">
        <v>1</v>
      </c>
      <c r="B23" s="104">
        <f>A23+1</f>
        <v>2</v>
      </c>
      <c r="C23" s="104">
        <f t="shared" ref="C23:N23" si="4">B23+1</f>
        <v>3</v>
      </c>
      <c r="D23" s="104">
        <f t="shared" si="4"/>
        <v>4</v>
      </c>
      <c r="E23" s="104">
        <f t="shared" si="4"/>
        <v>5</v>
      </c>
      <c r="F23" s="104">
        <f t="shared" si="4"/>
        <v>6</v>
      </c>
      <c r="G23" s="104">
        <f t="shared" si="4"/>
        <v>7</v>
      </c>
      <c r="H23" s="104">
        <f t="shared" si="4"/>
        <v>8</v>
      </c>
      <c r="I23" s="104">
        <f t="shared" si="4"/>
        <v>9</v>
      </c>
      <c r="J23" s="104">
        <f t="shared" si="4"/>
        <v>10</v>
      </c>
      <c r="K23" s="104">
        <f t="shared" si="4"/>
        <v>11</v>
      </c>
      <c r="L23" s="104">
        <f t="shared" si="4"/>
        <v>12</v>
      </c>
      <c r="M23" s="104">
        <f t="shared" si="4"/>
        <v>13</v>
      </c>
      <c r="N23" s="104">
        <f t="shared" si="4"/>
        <v>14</v>
      </c>
      <c r="O23" s="111" t="s">
        <v>384</v>
      </c>
      <c r="P23" s="116">
        <v>14220745</v>
      </c>
    </row>
    <row r="24" spans="1:16" x14ac:dyDescent="0.2">
      <c r="A24" s="173" t="s">
        <v>388</v>
      </c>
      <c r="B24" s="104">
        <v>1</v>
      </c>
      <c r="C24" s="174">
        <v>16.399999999999999</v>
      </c>
      <c r="D24" s="77">
        <f>(C24*E24)+F24+G24+H24+I24+K24+M24</f>
        <v>325866.55</v>
      </c>
      <c r="E24" s="175">
        <v>6603</v>
      </c>
      <c r="F24" s="130">
        <v>4490.04</v>
      </c>
      <c r="G24" s="130">
        <v>35656.199999999997</v>
      </c>
      <c r="H24" s="130">
        <v>46934.12</v>
      </c>
      <c r="I24" s="130">
        <v>11781.76</v>
      </c>
      <c r="J24" s="41">
        <v>30</v>
      </c>
      <c r="K24" s="77">
        <v>56929.03</v>
      </c>
      <c r="L24" s="41">
        <v>30</v>
      </c>
      <c r="M24" s="77">
        <v>61786.2</v>
      </c>
      <c r="N24" s="77">
        <f>D24*12</f>
        <v>3910398.5999999996</v>
      </c>
      <c r="O24" s="111" t="s">
        <v>387</v>
      </c>
      <c r="P24" s="116">
        <f>P23/12</f>
        <v>1185062.0833333333</v>
      </c>
    </row>
    <row r="25" spans="1:16" x14ac:dyDescent="0.2">
      <c r="A25" s="173" t="s">
        <v>388</v>
      </c>
      <c r="B25" s="104">
        <f>B24+1</f>
        <v>2</v>
      </c>
      <c r="C25" s="176">
        <v>10.4</v>
      </c>
      <c r="D25" s="77">
        <f t="shared" ref="D25:D33" si="5">(C25*E25)+F25+G25+H25+I25+K25+M25</f>
        <v>234190.70400000003</v>
      </c>
      <c r="E25" s="175">
        <v>7521</v>
      </c>
      <c r="F25" s="130">
        <v>2105.88</v>
      </c>
      <c r="G25" s="130">
        <v>23540.73</v>
      </c>
      <c r="H25" s="130">
        <v>35032.82</v>
      </c>
      <c r="I25" s="130">
        <v>7471.36</v>
      </c>
      <c r="J25" s="41">
        <v>30</v>
      </c>
      <c r="K25" s="77">
        <f t="shared" ref="K25:K33" si="6">((C25*E25)+F25+G25+H25+I25)*30/100</f>
        <v>43910.757000000005</v>
      </c>
      <c r="L25" s="41">
        <v>30</v>
      </c>
      <c r="M25" s="77">
        <f t="shared" ref="M25:M34" si="7">((C25*E25)+F25+G25+H25+I25)*30/100</f>
        <v>43910.757000000005</v>
      </c>
      <c r="N25" s="77">
        <f t="shared" ref="N25:N34" si="8">D25*12</f>
        <v>2810288.4480000003</v>
      </c>
      <c r="O25" s="111" t="s">
        <v>385</v>
      </c>
      <c r="P25" s="116">
        <f>D24+D25+D26+D27+D28+D29+D30+D31+D33+D32</f>
        <v>895720.19799999997</v>
      </c>
    </row>
    <row r="26" spans="1:16" ht="25.5" x14ac:dyDescent="0.2">
      <c r="A26" s="173" t="s">
        <v>389</v>
      </c>
      <c r="B26" s="104">
        <f t="shared" ref="B26:B34" si="9">B25+1</f>
        <v>3</v>
      </c>
      <c r="C26" s="176">
        <v>1.63</v>
      </c>
      <c r="D26" s="77">
        <f t="shared" si="5"/>
        <v>37081.792000000001</v>
      </c>
      <c r="E26" s="175">
        <v>6556</v>
      </c>
      <c r="F26" s="130">
        <v>983.4</v>
      </c>
      <c r="G26" s="130">
        <v>5949.57</v>
      </c>
      <c r="H26" s="130">
        <v>5556.87</v>
      </c>
      <c r="I26" s="130"/>
      <c r="J26" s="41">
        <v>30</v>
      </c>
      <c r="K26" s="77">
        <f t="shared" si="6"/>
        <v>6952.8359999999993</v>
      </c>
      <c r="L26" s="41">
        <v>30</v>
      </c>
      <c r="M26" s="77">
        <f t="shared" si="7"/>
        <v>6952.8359999999993</v>
      </c>
      <c r="N26" s="77">
        <f t="shared" si="8"/>
        <v>444981.50400000002</v>
      </c>
      <c r="O26" s="111" t="s">
        <v>398</v>
      </c>
      <c r="P26" s="116">
        <f>P24-P25</f>
        <v>289341.88533333328</v>
      </c>
    </row>
    <row r="27" spans="1:16" ht="25.5" x14ac:dyDescent="0.2">
      <c r="A27" s="173" t="s">
        <v>390</v>
      </c>
      <c r="B27" s="104">
        <f t="shared" si="9"/>
        <v>4</v>
      </c>
      <c r="C27" s="176">
        <v>1.75</v>
      </c>
      <c r="D27" s="77">
        <f t="shared" si="5"/>
        <v>30620.159999999996</v>
      </c>
      <c r="E27" s="175">
        <v>5760</v>
      </c>
      <c r="F27" s="130">
        <v>864</v>
      </c>
      <c r="G27" s="130">
        <v>3312</v>
      </c>
      <c r="H27" s="130">
        <v>4881.6000000000004</v>
      </c>
      <c r="I27" s="130"/>
      <c r="J27" s="41">
        <v>30</v>
      </c>
      <c r="K27" s="77">
        <f t="shared" si="6"/>
        <v>5741.28</v>
      </c>
      <c r="L27" s="41">
        <v>30</v>
      </c>
      <c r="M27" s="77">
        <f t="shared" si="7"/>
        <v>5741.28</v>
      </c>
      <c r="N27" s="77">
        <f t="shared" si="8"/>
        <v>367441.91999999993</v>
      </c>
    </row>
    <row r="28" spans="1:16" ht="25.5" x14ac:dyDescent="0.2">
      <c r="A28" s="173" t="s">
        <v>390</v>
      </c>
      <c r="B28" s="104">
        <f t="shared" si="9"/>
        <v>5</v>
      </c>
      <c r="C28" s="176">
        <v>1.5</v>
      </c>
      <c r="D28" s="77">
        <f t="shared" si="5"/>
        <v>32045.728000000003</v>
      </c>
      <c r="E28" s="175">
        <v>6556</v>
      </c>
      <c r="F28" s="130">
        <v>1311.2</v>
      </c>
      <c r="G28" s="130">
        <v>3769.7</v>
      </c>
      <c r="H28" s="130">
        <v>5113.68</v>
      </c>
      <c r="I28" s="130"/>
      <c r="J28" s="41">
        <v>30</v>
      </c>
      <c r="K28" s="77">
        <f t="shared" si="6"/>
        <v>6008.5740000000005</v>
      </c>
      <c r="L28" s="41">
        <v>30</v>
      </c>
      <c r="M28" s="77">
        <f t="shared" si="7"/>
        <v>6008.5740000000005</v>
      </c>
      <c r="N28" s="77">
        <f t="shared" si="8"/>
        <v>384548.73600000003</v>
      </c>
    </row>
    <row r="29" spans="1:16" ht="25.5" x14ac:dyDescent="0.2">
      <c r="A29" s="173" t="s">
        <v>391</v>
      </c>
      <c r="B29" s="104">
        <f t="shared" si="9"/>
        <v>6</v>
      </c>
      <c r="C29" s="176">
        <v>1.5</v>
      </c>
      <c r="D29" s="77">
        <f t="shared" si="5"/>
        <v>36882.992000000006</v>
      </c>
      <c r="E29" s="175">
        <v>7521</v>
      </c>
      <c r="F29" s="130">
        <v>1203.3599999999999</v>
      </c>
      <c r="G29" s="130">
        <v>4700.63</v>
      </c>
      <c r="H29" s="130">
        <v>5866.38</v>
      </c>
      <c r="I29" s="130"/>
      <c r="J29" s="41">
        <v>30</v>
      </c>
      <c r="K29" s="77">
        <f t="shared" si="6"/>
        <v>6915.5610000000006</v>
      </c>
      <c r="L29" s="41">
        <v>30</v>
      </c>
      <c r="M29" s="77">
        <f t="shared" si="7"/>
        <v>6915.5610000000006</v>
      </c>
      <c r="N29" s="77">
        <f t="shared" si="8"/>
        <v>442595.9040000001</v>
      </c>
    </row>
    <row r="30" spans="1:16" x14ac:dyDescent="0.2">
      <c r="A30" s="173" t="s">
        <v>392</v>
      </c>
      <c r="B30" s="104">
        <f t="shared" si="9"/>
        <v>7</v>
      </c>
      <c r="C30" s="176">
        <v>1</v>
      </c>
      <c r="D30" s="77">
        <f t="shared" si="5"/>
        <v>33858.207999999991</v>
      </c>
      <c r="E30" s="175">
        <v>8234</v>
      </c>
      <c r="F30" s="130">
        <v>1646.8</v>
      </c>
      <c r="G30" s="130">
        <v>6998.9</v>
      </c>
      <c r="H30" s="130">
        <v>4281.68</v>
      </c>
      <c r="I30" s="130"/>
      <c r="J30" s="41">
        <v>30</v>
      </c>
      <c r="K30" s="77">
        <f t="shared" si="6"/>
        <v>6348.4139999999989</v>
      </c>
      <c r="L30" s="41">
        <v>30</v>
      </c>
      <c r="M30" s="77">
        <f t="shared" si="7"/>
        <v>6348.4139999999989</v>
      </c>
      <c r="N30" s="77">
        <f t="shared" si="8"/>
        <v>406298.49599999993</v>
      </c>
    </row>
    <row r="31" spans="1:16" ht="25.5" x14ac:dyDescent="0.2">
      <c r="A31" s="173" t="s">
        <v>393</v>
      </c>
      <c r="B31" s="104">
        <f t="shared" si="9"/>
        <v>8</v>
      </c>
      <c r="C31" s="176">
        <v>2.5</v>
      </c>
      <c r="D31" s="77">
        <f t="shared" si="5"/>
        <v>66201.36</v>
      </c>
      <c r="E31" s="175">
        <v>8234</v>
      </c>
      <c r="F31" s="130">
        <v>4117</v>
      </c>
      <c r="G31" s="130">
        <v>7204.75</v>
      </c>
      <c r="H31" s="130">
        <v>9469.1</v>
      </c>
      <c r="I31" s="130"/>
      <c r="J31" s="41">
        <v>30</v>
      </c>
      <c r="K31" s="77">
        <f t="shared" si="6"/>
        <v>12412.754999999999</v>
      </c>
      <c r="L31" s="41">
        <v>30</v>
      </c>
      <c r="M31" s="77">
        <f t="shared" si="7"/>
        <v>12412.754999999999</v>
      </c>
      <c r="N31" s="77">
        <f t="shared" si="8"/>
        <v>794416.32000000007</v>
      </c>
    </row>
    <row r="32" spans="1:16" ht="25.5" x14ac:dyDescent="0.2">
      <c r="A32" s="173" t="s">
        <v>509</v>
      </c>
      <c r="B32" s="104">
        <f t="shared" si="9"/>
        <v>9</v>
      </c>
      <c r="C32" s="176">
        <v>0.5</v>
      </c>
      <c r="D32" s="77">
        <f t="shared" si="5"/>
        <v>10341.903999999999</v>
      </c>
      <c r="E32" s="175">
        <v>8234</v>
      </c>
      <c r="F32" s="130">
        <v>823.4</v>
      </c>
      <c r="G32" s="130">
        <v>411.7</v>
      </c>
      <c r="H32" s="130">
        <v>1111.5899999999999</v>
      </c>
      <c r="I32" s="130"/>
      <c r="J32" s="41">
        <v>30</v>
      </c>
      <c r="K32" s="77">
        <f t="shared" si="6"/>
        <v>1939.1069999999997</v>
      </c>
      <c r="L32" s="41">
        <v>30</v>
      </c>
      <c r="M32" s="77">
        <f t="shared" si="7"/>
        <v>1939.1069999999997</v>
      </c>
      <c r="N32" s="77">
        <f t="shared" si="8"/>
        <v>124102.84799999998</v>
      </c>
    </row>
    <row r="33" spans="1:16" x14ac:dyDescent="0.2">
      <c r="A33" s="173" t="s">
        <v>394</v>
      </c>
      <c r="B33" s="104">
        <f t="shared" si="9"/>
        <v>10</v>
      </c>
      <c r="C33" s="176"/>
      <c r="D33" s="77">
        <f t="shared" si="5"/>
        <v>88630.799999999988</v>
      </c>
      <c r="E33" s="175"/>
      <c r="F33" s="130"/>
      <c r="G33" s="130">
        <v>55394.25</v>
      </c>
      <c r="H33" s="130"/>
      <c r="I33" s="130"/>
      <c r="J33" s="41">
        <v>30</v>
      </c>
      <c r="K33" s="77">
        <f t="shared" si="6"/>
        <v>16618.275000000001</v>
      </c>
      <c r="L33" s="41">
        <v>30</v>
      </c>
      <c r="M33" s="77">
        <f t="shared" si="7"/>
        <v>16618.275000000001</v>
      </c>
      <c r="N33" s="77">
        <f t="shared" si="8"/>
        <v>1063569.5999999999</v>
      </c>
    </row>
    <row r="34" spans="1:16" ht="25.5" x14ac:dyDescent="0.2">
      <c r="A34" s="173" t="s">
        <v>395</v>
      </c>
      <c r="B34" s="104">
        <f t="shared" si="9"/>
        <v>11</v>
      </c>
      <c r="C34" s="176"/>
      <c r="D34" s="77">
        <f>G34+K34+M34</f>
        <v>289341.88533333328</v>
      </c>
      <c r="E34" s="175"/>
      <c r="F34" s="130"/>
      <c r="G34" s="130">
        <f>P26/1.6</f>
        <v>180838.67833333329</v>
      </c>
      <c r="H34" s="130"/>
      <c r="I34" s="130"/>
      <c r="J34" s="41">
        <v>30</v>
      </c>
      <c r="K34" s="77">
        <f>((C34*E34)+F34+G34+H34+I34)*30/100</f>
        <v>54251.60349999999</v>
      </c>
      <c r="L34" s="41">
        <v>30</v>
      </c>
      <c r="M34" s="77">
        <f t="shared" si="7"/>
        <v>54251.60349999999</v>
      </c>
      <c r="N34" s="77">
        <f t="shared" si="8"/>
        <v>3472102.6239999994</v>
      </c>
    </row>
    <row r="35" spans="1:16" x14ac:dyDescent="0.2">
      <c r="A35" s="31" t="s">
        <v>136</v>
      </c>
      <c r="B35" s="104">
        <v>9000</v>
      </c>
      <c r="C35" s="104" t="s">
        <v>12</v>
      </c>
      <c r="D35" s="77">
        <f>SUM(D24:D34)</f>
        <v>1185062.083333333</v>
      </c>
      <c r="E35" s="77"/>
      <c r="F35" s="77">
        <f>SUM(F24:F34)</f>
        <v>17545.080000000002</v>
      </c>
      <c r="G35" s="77">
        <f>SUM(G24:G34)</f>
        <v>327777.10833333328</v>
      </c>
      <c r="H35" s="77">
        <f>SUM(H24:H34)</f>
        <v>118247.84</v>
      </c>
      <c r="I35" s="77">
        <f>SUM(I24:I34)</f>
        <v>19253.12</v>
      </c>
      <c r="J35" s="77"/>
      <c r="K35" s="77">
        <f>SUM(K24:K34)</f>
        <v>218028.1925</v>
      </c>
      <c r="L35" s="77"/>
      <c r="M35" s="77">
        <f>SUM(M24:M34)</f>
        <v>222885.36249999996</v>
      </c>
      <c r="N35" s="78">
        <f>SUM(N24:N34)</f>
        <v>14220745</v>
      </c>
    </row>
    <row r="37" spans="1:16" x14ac:dyDescent="0.2">
      <c r="A37" s="95" t="str">
        <f>'3.13.1'!J9</f>
        <v>0701 0210074080 621</v>
      </c>
    </row>
    <row r="38" spans="1:16" ht="12.75" customHeight="1" x14ac:dyDescent="0.2">
      <c r="A38" s="237" t="s">
        <v>185</v>
      </c>
      <c r="B38" s="237" t="s">
        <v>1</v>
      </c>
      <c r="C38" s="237" t="s">
        <v>186</v>
      </c>
      <c r="D38" s="237" t="s">
        <v>187</v>
      </c>
      <c r="E38" s="237"/>
      <c r="F38" s="237"/>
      <c r="G38" s="237"/>
      <c r="H38" s="237"/>
      <c r="I38" s="237"/>
      <c r="J38" s="237"/>
      <c r="K38" s="237"/>
      <c r="L38" s="237"/>
      <c r="M38" s="239" t="s">
        <v>188</v>
      </c>
      <c r="N38" s="140"/>
    </row>
    <row r="39" spans="1:16" x14ac:dyDescent="0.2">
      <c r="A39" s="237"/>
      <c r="B39" s="237"/>
      <c r="C39" s="237"/>
      <c r="D39" s="237" t="s">
        <v>189</v>
      </c>
      <c r="E39" s="237" t="s">
        <v>15</v>
      </c>
      <c r="F39" s="237"/>
      <c r="G39" s="237"/>
      <c r="H39" s="237"/>
      <c r="I39" s="237"/>
      <c r="J39" s="237"/>
      <c r="K39" s="237"/>
      <c r="L39" s="237"/>
      <c r="M39" s="240"/>
      <c r="N39" s="140"/>
    </row>
    <row r="40" spans="1:16" ht="37.5" customHeight="1" x14ac:dyDescent="0.2">
      <c r="A40" s="237"/>
      <c r="B40" s="237"/>
      <c r="C40" s="237"/>
      <c r="D40" s="237"/>
      <c r="E40" s="237" t="s">
        <v>190</v>
      </c>
      <c r="F40" s="237" t="s">
        <v>191</v>
      </c>
      <c r="G40" s="237" t="s">
        <v>192</v>
      </c>
      <c r="H40" s="248" t="s">
        <v>396</v>
      </c>
      <c r="I40" s="104" t="s">
        <v>193</v>
      </c>
      <c r="J40" s="104"/>
      <c r="K40" s="104" t="s">
        <v>194</v>
      </c>
      <c r="L40" s="104"/>
      <c r="M40" s="240"/>
      <c r="N40" s="140"/>
    </row>
    <row r="41" spans="1:16" ht="38.25" x14ac:dyDescent="0.2">
      <c r="A41" s="237"/>
      <c r="B41" s="237"/>
      <c r="C41" s="237"/>
      <c r="D41" s="237"/>
      <c r="E41" s="237"/>
      <c r="F41" s="237"/>
      <c r="G41" s="237"/>
      <c r="H41" s="248"/>
      <c r="I41" s="104" t="s">
        <v>195</v>
      </c>
      <c r="J41" s="104" t="s">
        <v>196</v>
      </c>
      <c r="K41" s="104" t="s">
        <v>195</v>
      </c>
      <c r="L41" s="104" t="s">
        <v>197</v>
      </c>
      <c r="M41" s="241"/>
    </row>
    <row r="42" spans="1:16" x14ac:dyDescent="0.2">
      <c r="A42" s="104">
        <v>1</v>
      </c>
      <c r="B42" s="104">
        <f>A42+1</f>
        <v>2</v>
      </c>
      <c r="C42" s="104">
        <f t="shared" ref="C42:M42" si="10">B42+1</f>
        <v>3</v>
      </c>
      <c r="D42" s="104">
        <f t="shared" si="10"/>
        <v>4</v>
      </c>
      <c r="E42" s="104">
        <f t="shared" si="10"/>
        <v>5</v>
      </c>
      <c r="F42" s="104">
        <f t="shared" si="10"/>
        <v>6</v>
      </c>
      <c r="G42" s="104">
        <f t="shared" si="10"/>
        <v>7</v>
      </c>
      <c r="H42" s="104">
        <f t="shared" si="10"/>
        <v>8</v>
      </c>
      <c r="I42" s="104">
        <f t="shared" si="10"/>
        <v>9</v>
      </c>
      <c r="J42" s="104">
        <f t="shared" si="10"/>
        <v>10</v>
      </c>
      <c r="K42" s="104">
        <f t="shared" si="10"/>
        <v>11</v>
      </c>
      <c r="L42" s="104">
        <f t="shared" si="10"/>
        <v>12</v>
      </c>
      <c r="M42" s="104">
        <f t="shared" si="10"/>
        <v>13</v>
      </c>
    </row>
    <row r="43" spans="1:16" x14ac:dyDescent="0.2">
      <c r="A43" s="173" t="s">
        <v>399</v>
      </c>
      <c r="B43" s="104">
        <v>1</v>
      </c>
      <c r="C43" s="176">
        <v>1</v>
      </c>
      <c r="D43" s="51">
        <f>(C43*E43)+F43+G43+H43+J43+L43</f>
        <v>9830.7999999999993</v>
      </c>
      <c r="E43" s="179">
        <v>3511</v>
      </c>
      <c r="F43" s="180"/>
      <c r="G43" s="180">
        <v>2633.25</v>
      </c>
      <c r="H43" s="162"/>
      <c r="I43" s="79">
        <v>30</v>
      </c>
      <c r="J43" s="51">
        <f>((C43*E43)+F43+G43+H43)*30/100</f>
        <v>1843.2750000000001</v>
      </c>
      <c r="K43" s="79">
        <v>30</v>
      </c>
      <c r="L43" s="51">
        <f>J43</f>
        <v>1843.2750000000001</v>
      </c>
      <c r="M43" s="51">
        <f>D43*12</f>
        <v>117969.59999999999</v>
      </c>
      <c r="O43" s="111" t="s">
        <v>384</v>
      </c>
      <c r="P43" s="116">
        <v>5812298.7999999998</v>
      </c>
    </row>
    <row r="44" spans="1:16" x14ac:dyDescent="0.2">
      <c r="A44" s="173" t="s">
        <v>400</v>
      </c>
      <c r="B44" s="104">
        <f>B43+1</f>
        <v>2</v>
      </c>
      <c r="C44" s="176">
        <v>1</v>
      </c>
      <c r="D44" s="51">
        <f t="shared" ref="D44:D55" si="11">(C44*E44)+F44+G44+H44+J44+L44</f>
        <v>32002.880000000005</v>
      </c>
      <c r="E44" s="179">
        <v>15386</v>
      </c>
      <c r="F44" s="180">
        <v>2307.9</v>
      </c>
      <c r="G44" s="180">
        <v>2307.9</v>
      </c>
      <c r="H44" s="162"/>
      <c r="I44" s="79">
        <v>30</v>
      </c>
      <c r="J44" s="51">
        <f t="shared" ref="J44:J55" si="12">((C44*E44)+F44+G44+H44)*30/100</f>
        <v>6000.5400000000009</v>
      </c>
      <c r="K44" s="79">
        <v>30</v>
      </c>
      <c r="L44" s="51">
        <f t="shared" ref="L44:L54" si="13">J44</f>
        <v>6000.5400000000009</v>
      </c>
      <c r="M44" s="51">
        <f t="shared" ref="M44:M55" si="14">D44*12</f>
        <v>384034.56000000006</v>
      </c>
      <c r="O44" s="111" t="s">
        <v>387</v>
      </c>
      <c r="P44" s="116">
        <f>P43/12</f>
        <v>484358.23333333334</v>
      </c>
    </row>
    <row r="45" spans="1:16" x14ac:dyDescent="0.2">
      <c r="A45" s="173" t="s">
        <v>401</v>
      </c>
      <c r="B45" s="104">
        <f t="shared" ref="B45:B55" si="15">B44+1</f>
        <v>3</v>
      </c>
      <c r="C45" s="176">
        <v>1</v>
      </c>
      <c r="D45" s="51">
        <f t="shared" si="11"/>
        <v>37663.040000000001</v>
      </c>
      <c r="E45" s="179">
        <v>13078</v>
      </c>
      <c r="F45" s="180"/>
      <c r="G45" s="180">
        <v>7192.9</v>
      </c>
      <c r="H45" s="162">
        <v>3268.5</v>
      </c>
      <c r="I45" s="79">
        <v>30</v>
      </c>
      <c r="J45" s="51">
        <f t="shared" si="12"/>
        <v>7061.82</v>
      </c>
      <c r="K45" s="79">
        <v>30</v>
      </c>
      <c r="L45" s="51">
        <f t="shared" si="13"/>
        <v>7061.82</v>
      </c>
      <c r="M45" s="51">
        <f t="shared" si="14"/>
        <v>451956.47999999998</v>
      </c>
      <c r="O45" s="111" t="s">
        <v>385</v>
      </c>
      <c r="P45" s="116">
        <f>D43+D44+D54+D45+D46+D47+D48+D49+D50+D51+D52+D53</f>
        <v>272636.56</v>
      </c>
    </row>
    <row r="46" spans="1:16" ht="25.5" x14ac:dyDescent="0.2">
      <c r="A46" s="173" t="s">
        <v>402</v>
      </c>
      <c r="B46" s="104">
        <f t="shared" si="15"/>
        <v>4</v>
      </c>
      <c r="C46" s="176">
        <v>0.3</v>
      </c>
      <c r="D46" s="51">
        <f t="shared" si="11"/>
        <v>6591.3119999999999</v>
      </c>
      <c r="E46" s="179">
        <v>13078</v>
      </c>
      <c r="F46" s="180"/>
      <c r="G46" s="180">
        <v>196.17</v>
      </c>
      <c r="H46" s="162"/>
      <c r="I46" s="79">
        <v>30</v>
      </c>
      <c r="J46" s="51">
        <f t="shared" si="12"/>
        <v>1235.8709999999999</v>
      </c>
      <c r="K46" s="79">
        <v>30</v>
      </c>
      <c r="L46" s="51">
        <f t="shared" si="13"/>
        <v>1235.8709999999999</v>
      </c>
      <c r="M46" s="51">
        <f t="shared" si="14"/>
        <v>79095.744000000006</v>
      </c>
      <c r="O46" s="111" t="s">
        <v>453</v>
      </c>
      <c r="P46" s="116">
        <f>P44-P45</f>
        <v>211721.67333333334</v>
      </c>
    </row>
    <row r="47" spans="1:16" x14ac:dyDescent="0.2">
      <c r="A47" s="173" t="s">
        <v>284</v>
      </c>
      <c r="B47" s="104">
        <f t="shared" si="15"/>
        <v>5</v>
      </c>
      <c r="C47" s="176">
        <v>1</v>
      </c>
      <c r="D47" s="51">
        <f t="shared" si="11"/>
        <v>28248.48</v>
      </c>
      <c r="E47" s="179">
        <v>13078</v>
      </c>
      <c r="F47" s="180"/>
      <c r="G47" s="180">
        <v>4577.3</v>
      </c>
      <c r="H47" s="162"/>
      <c r="I47" s="79">
        <v>30</v>
      </c>
      <c r="J47" s="51">
        <f t="shared" si="12"/>
        <v>5296.59</v>
      </c>
      <c r="K47" s="79">
        <v>30</v>
      </c>
      <c r="L47" s="51">
        <f t="shared" si="13"/>
        <v>5296.59</v>
      </c>
      <c r="M47" s="51">
        <f t="shared" si="14"/>
        <v>338981.76</v>
      </c>
    </row>
    <row r="48" spans="1:16" x14ac:dyDescent="0.2">
      <c r="A48" s="173" t="s">
        <v>498</v>
      </c>
      <c r="B48" s="104">
        <f t="shared" si="15"/>
        <v>6</v>
      </c>
      <c r="C48" s="176">
        <v>0.5</v>
      </c>
      <c r="D48" s="51">
        <f t="shared" si="11"/>
        <v>4282.08</v>
      </c>
      <c r="E48" s="179">
        <v>4282</v>
      </c>
      <c r="F48" s="180"/>
      <c r="G48" s="180">
        <v>535.29999999999995</v>
      </c>
      <c r="H48" s="162"/>
      <c r="I48" s="79">
        <v>30</v>
      </c>
      <c r="J48" s="51">
        <f t="shared" si="12"/>
        <v>802.89</v>
      </c>
      <c r="K48" s="79">
        <v>30</v>
      </c>
      <c r="L48" s="51">
        <f t="shared" si="13"/>
        <v>802.89</v>
      </c>
      <c r="M48" s="51">
        <f t="shared" si="14"/>
        <v>51384.959999999999</v>
      </c>
    </row>
    <row r="49" spans="1:13" ht="25.5" x14ac:dyDescent="0.2">
      <c r="A49" s="173" t="s">
        <v>403</v>
      </c>
      <c r="B49" s="104">
        <f t="shared" si="15"/>
        <v>7</v>
      </c>
      <c r="C49" s="176">
        <v>15.25</v>
      </c>
      <c r="D49" s="51">
        <f t="shared" si="11"/>
        <v>118349.18400000001</v>
      </c>
      <c r="E49" s="179">
        <v>3964</v>
      </c>
      <c r="F49" s="180">
        <v>4003.64</v>
      </c>
      <c r="G49" s="180">
        <v>9513.6</v>
      </c>
      <c r="H49" s="162"/>
      <c r="I49" s="79">
        <v>30</v>
      </c>
      <c r="J49" s="51">
        <f t="shared" si="12"/>
        <v>22190.472000000002</v>
      </c>
      <c r="K49" s="79">
        <v>30</v>
      </c>
      <c r="L49" s="51">
        <f t="shared" si="13"/>
        <v>22190.472000000002</v>
      </c>
      <c r="M49" s="51">
        <f t="shared" si="14"/>
        <v>1420190.2080000001</v>
      </c>
    </row>
    <row r="50" spans="1:13" ht="25.5" x14ac:dyDescent="0.2">
      <c r="A50" s="173" t="s">
        <v>404</v>
      </c>
      <c r="B50" s="104">
        <f t="shared" si="15"/>
        <v>8</v>
      </c>
      <c r="C50" s="176">
        <v>0.25</v>
      </c>
      <c r="D50" s="51">
        <f t="shared" si="11"/>
        <v>1798.4480000000001</v>
      </c>
      <c r="E50" s="179">
        <v>4282</v>
      </c>
      <c r="F50" s="180"/>
      <c r="G50" s="180">
        <v>53.53</v>
      </c>
      <c r="H50" s="162"/>
      <c r="I50" s="79">
        <v>30</v>
      </c>
      <c r="J50" s="51">
        <f t="shared" si="12"/>
        <v>337.209</v>
      </c>
      <c r="K50" s="79">
        <v>30</v>
      </c>
      <c r="L50" s="51">
        <f t="shared" si="13"/>
        <v>337.209</v>
      </c>
      <c r="M50" s="51">
        <f t="shared" si="14"/>
        <v>21581.376</v>
      </c>
    </row>
    <row r="51" spans="1:13" ht="25.5" x14ac:dyDescent="0.2">
      <c r="A51" s="173" t="s">
        <v>405</v>
      </c>
      <c r="B51" s="104">
        <f t="shared" si="15"/>
        <v>9</v>
      </c>
      <c r="C51" s="176">
        <v>0.15</v>
      </c>
      <c r="D51" s="51">
        <f t="shared" si="11"/>
        <v>1079.0719999999999</v>
      </c>
      <c r="E51" s="179">
        <v>4282</v>
      </c>
      <c r="F51" s="180"/>
      <c r="G51" s="180">
        <v>32.119999999999997</v>
      </c>
      <c r="H51" s="162"/>
      <c r="I51" s="79">
        <v>30</v>
      </c>
      <c r="J51" s="51">
        <f t="shared" si="12"/>
        <v>202.32599999999999</v>
      </c>
      <c r="K51" s="79">
        <v>30</v>
      </c>
      <c r="L51" s="51">
        <f t="shared" si="13"/>
        <v>202.32599999999999</v>
      </c>
      <c r="M51" s="51">
        <f t="shared" si="14"/>
        <v>12948.863999999998</v>
      </c>
    </row>
    <row r="52" spans="1:13" x14ac:dyDescent="0.2">
      <c r="A52" s="173" t="s">
        <v>394</v>
      </c>
      <c r="B52" s="104">
        <f t="shared" si="15"/>
        <v>10</v>
      </c>
      <c r="C52" s="176"/>
      <c r="D52" s="51">
        <f t="shared" si="11"/>
        <v>12117.663999999999</v>
      </c>
      <c r="E52" s="180"/>
      <c r="F52" s="180"/>
      <c r="G52" s="180">
        <v>7573.54</v>
      </c>
      <c r="H52" s="162"/>
      <c r="I52" s="79">
        <v>30</v>
      </c>
      <c r="J52" s="51">
        <f t="shared" si="12"/>
        <v>2272.0619999999999</v>
      </c>
      <c r="K52" s="79">
        <v>30</v>
      </c>
      <c r="L52" s="51">
        <f t="shared" si="13"/>
        <v>2272.0619999999999</v>
      </c>
      <c r="M52" s="51">
        <f t="shared" si="14"/>
        <v>145411.96799999999</v>
      </c>
    </row>
    <row r="53" spans="1:13" ht="38.25" x14ac:dyDescent="0.2">
      <c r="A53" s="173" t="s">
        <v>406</v>
      </c>
      <c r="B53" s="104">
        <f t="shared" si="15"/>
        <v>11</v>
      </c>
      <c r="C53" s="176"/>
      <c r="D53" s="51">
        <f t="shared" si="11"/>
        <v>14026.895999999999</v>
      </c>
      <c r="E53" s="180"/>
      <c r="F53" s="180"/>
      <c r="G53" s="180">
        <v>8766.81</v>
      </c>
      <c r="H53" s="162"/>
      <c r="I53" s="79">
        <v>30</v>
      </c>
      <c r="J53" s="51">
        <f t="shared" si="12"/>
        <v>2630.0429999999997</v>
      </c>
      <c r="K53" s="79">
        <v>30</v>
      </c>
      <c r="L53" s="51">
        <f t="shared" si="13"/>
        <v>2630.0429999999997</v>
      </c>
      <c r="M53" s="51">
        <f t="shared" si="14"/>
        <v>168322.75199999998</v>
      </c>
    </row>
    <row r="54" spans="1:13" ht="25.5" x14ac:dyDescent="0.2">
      <c r="A54" s="173" t="s">
        <v>407</v>
      </c>
      <c r="B54" s="104">
        <f t="shared" si="15"/>
        <v>12</v>
      </c>
      <c r="C54" s="176"/>
      <c r="D54" s="51">
        <f t="shared" si="11"/>
        <v>6646.7039999999988</v>
      </c>
      <c r="E54" s="180"/>
      <c r="F54" s="180"/>
      <c r="G54" s="180">
        <v>4154.1899999999996</v>
      </c>
      <c r="H54" s="162"/>
      <c r="I54" s="79">
        <v>30</v>
      </c>
      <c r="J54" s="51">
        <f t="shared" si="12"/>
        <v>1246.2569999999998</v>
      </c>
      <c r="K54" s="79">
        <v>30</v>
      </c>
      <c r="L54" s="51">
        <f t="shared" si="13"/>
        <v>1246.2569999999998</v>
      </c>
      <c r="M54" s="51">
        <f t="shared" si="14"/>
        <v>79760.447999999989</v>
      </c>
    </row>
    <row r="55" spans="1:13" x14ac:dyDescent="0.2">
      <c r="A55" s="173" t="s">
        <v>408</v>
      </c>
      <c r="B55" s="104">
        <f t="shared" si="15"/>
        <v>13</v>
      </c>
      <c r="C55" s="176"/>
      <c r="D55" s="51">
        <f t="shared" si="11"/>
        <v>211721.67333333334</v>
      </c>
      <c r="E55" s="180"/>
      <c r="F55" s="180"/>
      <c r="G55" s="180">
        <f>P46/1.6</f>
        <v>132326.04583333334</v>
      </c>
      <c r="H55" s="162"/>
      <c r="I55" s="79">
        <v>30</v>
      </c>
      <c r="J55" s="51">
        <f t="shared" si="12"/>
        <v>39697.813750000001</v>
      </c>
      <c r="K55" s="79">
        <v>30</v>
      </c>
      <c r="L55" s="51">
        <f>(E55+F55+G55)*K55/100</f>
        <v>39697.813750000001</v>
      </c>
      <c r="M55" s="51">
        <f t="shared" si="14"/>
        <v>2540660.08</v>
      </c>
    </row>
    <row r="56" spans="1:13" x14ac:dyDescent="0.2">
      <c r="A56" s="31" t="s">
        <v>136</v>
      </c>
      <c r="B56" s="104">
        <v>9000</v>
      </c>
      <c r="C56" s="104" t="s">
        <v>12</v>
      </c>
      <c r="D56" s="51">
        <f>SUM(D43:D55)</f>
        <v>484358.23333333334</v>
      </c>
      <c r="E56" s="51">
        <f>SUM(E43:E55)</f>
        <v>74941</v>
      </c>
      <c r="F56" s="51">
        <f>SUM(F43:F55)</f>
        <v>6311.54</v>
      </c>
      <c r="G56" s="51">
        <f>SUM(G43:G55)</f>
        <v>179862.65583333332</v>
      </c>
      <c r="H56" s="162"/>
      <c r="I56" s="51"/>
      <c r="J56" s="51">
        <f>SUM(J43:J55)</f>
        <v>90817.168749999997</v>
      </c>
      <c r="K56" s="51"/>
      <c r="L56" s="51">
        <f>SUM(L43:L55)</f>
        <v>90817.168749999997</v>
      </c>
      <c r="M56" s="150">
        <f>SUM(M43:M55)</f>
        <v>5812298.7999999998</v>
      </c>
    </row>
    <row r="57" spans="1:13" x14ac:dyDescent="0.2">
      <c r="M57" s="140"/>
    </row>
    <row r="58" spans="1:13" x14ac:dyDescent="0.2">
      <c r="M58" s="139"/>
    </row>
    <row r="59" spans="1:13" x14ac:dyDescent="0.2">
      <c r="A59" s="95" t="str">
        <f>'3.13.1'!M9</f>
        <v>0701 4200099000 853</v>
      </c>
    </row>
    <row r="60" spans="1:13" ht="76.5" x14ac:dyDescent="0.2">
      <c r="A60" s="181" t="s">
        <v>409</v>
      </c>
      <c r="B60" s="104" t="s">
        <v>1</v>
      </c>
      <c r="C60" s="181" t="s">
        <v>310</v>
      </c>
      <c r="D60" s="181" t="s">
        <v>311</v>
      </c>
    </row>
    <row r="61" spans="1:13" ht="25.5" x14ac:dyDescent="0.2">
      <c r="A61" s="182" t="s">
        <v>492</v>
      </c>
      <c r="B61" s="31">
        <v>1</v>
      </c>
      <c r="C61" s="116">
        <f>D61/5</f>
        <v>10677.119999999999</v>
      </c>
      <c r="D61" s="183">
        <v>53385.599999999999</v>
      </c>
    </row>
    <row r="62" spans="1:13" ht="25.5" x14ac:dyDescent="0.2">
      <c r="A62" s="182" t="s">
        <v>483</v>
      </c>
      <c r="B62" s="31">
        <f>B61+1</f>
        <v>2</v>
      </c>
      <c r="C62" s="116">
        <f t="shared" ref="C62:C71" si="16">D62/5</f>
        <v>8709</v>
      </c>
      <c r="D62" s="183">
        <v>43545</v>
      </c>
    </row>
    <row r="63" spans="1:13" ht="25.5" x14ac:dyDescent="0.2">
      <c r="A63" s="182" t="s">
        <v>484</v>
      </c>
      <c r="B63" s="31">
        <f t="shared" ref="B63:B71" si="17">B62+1</f>
        <v>3</v>
      </c>
      <c r="C63" s="116">
        <f t="shared" si="16"/>
        <v>21046.75</v>
      </c>
      <c r="D63" s="183">
        <f>50802.5+36287.5+18143.75</f>
        <v>105233.75</v>
      </c>
    </row>
    <row r="64" spans="1:13" x14ac:dyDescent="0.2">
      <c r="A64" s="182" t="s">
        <v>485</v>
      </c>
      <c r="B64" s="31">
        <f t="shared" si="17"/>
        <v>4</v>
      </c>
      <c r="C64" s="116">
        <f t="shared" si="16"/>
        <v>17418</v>
      </c>
      <c r="D64" s="183">
        <v>87090</v>
      </c>
    </row>
    <row r="65" spans="1:4" x14ac:dyDescent="0.2">
      <c r="A65" s="182" t="s">
        <v>486</v>
      </c>
      <c r="B65" s="31">
        <f t="shared" si="17"/>
        <v>5</v>
      </c>
      <c r="C65" s="116">
        <f t="shared" si="16"/>
        <v>29030</v>
      </c>
      <c r="D65" s="183">
        <v>145150</v>
      </c>
    </row>
    <row r="66" spans="1:4" x14ac:dyDescent="0.2">
      <c r="A66" s="184" t="s">
        <v>487</v>
      </c>
      <c r="B66" s="31">
        <f t="shared" si="17"/>
        <v>6</v>
      </c>
      <c r="C66" s="116">
        <f t="shared" si="16"/>
        <v>7465</v>
      </c>
      <c r="D66" s="183">
        <v>37325</v>
      </c>
    </row>
    <row r="67" spans="1:4" x14ac:dyDescent="0.2">
      <c r="A67" s="184" t="s">
        <v>488</v>
      </c>
      <c r="B67" s="31">
        <f t="shared" si="17"/>
        <v>7</v>
      </c>
      <c r="C67" s="116">
        <f t="shared" si="16"/>
        <v>8709</v>
      </c>
      <c r="D67" s="183">
        <v>43545</v>
      </c>
    </row>
    <row r="68" spans="1:4" ht="38.25" x14ac:dyDescent="0.2">
      <c r="A68" s="184" t="s">
        <v>489</v>
      </c>
      <c r="B68" s="31">
        <f t="shared" si="17"/>
        <v>8</v>
      </c>
      <c r="C68" s="116">
        <f t="shared" si="16"/>
        <v>7257.5</v>
      </c>
      <c r="D68" s="183">
        <v>36287.5</v>
      </c>
    </row>
    <row r="69" spans="1:4" ht="38.25" x14ac:dyDescent="0.2">
      <c r="A69" s="184" t="s">
        <v>490</v>
      </c>
      <c r="B69" s="31">
        <f t="shared" si="17"/>
        <v>9</v>
      </c>
      <c r="C69" s="116">
        <f t="shared" si="16"/>
        <v>5598.75</v>
      </c>
      <c r="D69" s="183">
        <v>27993.75</v>
      </c>
    </row>
    <row r="70" spans="1:4" x14ac:dyDescent="0.2">
      <c r="A70" s="184" t="s">
        <v>499</v>
      </c>
      <c r="B70" s="31">
        <f t="shared" si="17"/>
        <v>10</v>
      </c>
      <c r="C70" s="116">
        <f t="shared" si="16"/>
        <v>20016</v>
      </c>
      <c r="D70" s="183">
        <v>100080</v>
      </c>
    </row>
    <row r="71" spans="1:4" ht="38.25" x14ac:dyDescent="0.2">
      <c r="A71" s="184" t="s">
        <v>491</v>
      </c>
      <c r="B71" s="31">
        <f t="shared" si="17"/>
        <v>11</v>
      </c>
      <c r="C71" s="116">
        <f t="shared" si="16"/>
        <v>26692.799999999999</v>
      </c>
      <c r="D71" s="183">
        <v>133464</v>
      </c>
    </row>
    <row r="72" spans="1:4" x14ac:dyDescent="0.2">
      <c r="A72" s="111" t="s">
        <v>312</v>
      </c>
      <c r="B72" s="111">
        <v>9000</v>
      </c>
      <c r="C72" s="116"/>
      <c r="D72" s="56">
        <f>SUM(D61:D71)</f>
        <v>813099.6</v>
      </c>
    </row>
  </sheetData>
  <mergeCells count="37">
    <mergeCell ref="A38:A41"/>
    <mergeCell ref="B38:B41"/>
    <mergeCell ref="C38:C41"/>
    <mergeCell ref="D38:L38"/>
    <mergeCell ref="M38:M41"/>
    <mergeCell ref="D39:D41"/>
    <mergeCell ref="E39:L39"/>
    <mergeCell ref="E40:E41"/>
    <mergeCell ref="F40:F41"/>
    <mergeCell ref="G40:G41"/>
    <mergeCell ref="H40:H41"/>
    <mergeCell ref="A19:A22"/>
    <mergeCell ref="B19:B22"/>
    <mergeCell ref="C19:C22"/>
    <mergeCell ref="D19:M19"/>
    <mergeCell ref="N19:N22"/>
    <mergeCell ref="D20:D22"/>
    <mergeCell ref="E20:M20"/>
    <mergeCell ref="E21:E22"/>
    <mergeCell ref="F21:F22"/>
    <mergeCell ref="G21:G22"/>
    <mergeCell ref="H21:H22"/>
    <mergeCell ref="I21:I22"/>
    <mergeCell ref="J21:K21"/>
    <mergeCell ref="L21:M21"/>
    <mergeCell ref="A1:N1"/>
    <mergeCell ref="A4:A7"/>
    <mergeCell ref="B4:B7"/>
    <mergeCell ref="C4:C7"/>
    <mergeCell ref="D4:K4"/>
    <mergeCell ref="L4:L7"/>
    <mergeCell ref="D5:D7"/>
    <mergeCell ref="E5:K5"/>
    <mergeCell ref="E6:E7"/>
    <mergeCell ref="F6:F7"/>
    <mergeCell ref="G6:G7"/>
    <mergeCell ref="J6:K6"/>
  </mergeCells>
  <pageMargins left="0.70866141732283472" right="0.70866141732283472" top="0.74803149606299213" bottom="0.74803149606299213" header="0.31496062992125984" footer="0.31496062992125984"/>
  <pageSetup paperSize="9" scale="64" fitToHeight="2" orientation="landscape" r:id="rId1"/>
  <rowBreaks count="1" manualBreakCount="1">
    <brk id="35" max="13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</sheetPr>
  <dimension ref="A1:P72"/>
  <sheetViews>
    <sheetView view="pageBreakPreview" zoomScaleNormal="100" zoomScaleSheetLayoutView="100" workbookViewId="0">
      <selection sqref="A1:XFD1048576"/>
    </sheetView>
  </sheetViews>
  <sheetFormatPr defaultColWidth="9.140625" defaultRowHeight="12.75" x14ac:dyDescent="0.2"/>
  <cols>
    <col min="1" max="1" width="19.85546875" style="30" customWidth="1"/>
    <col min="2" max="3" width="9.140625" style="30"/>
    <col min="4" max="13" width="13" style="30" customWidth="1"/>
    <col min="14" max="14" width="14.85546875" style="30" customWidth="1"/>
    <col min="15" max="15" width="21.28515625" style="30" customWidth="1"/>
    <col min="16" max="16" width="16.28515625" style="30" customWidth="1"/>
    <col min="17" max="16384" width="9.140625" style="30"/>
  </cols>
  <sheetData>
    <row r="1" spans="1:16" ht="31.5" customHeight="1" x14ac:dyDescent="0.2">
      <c r="A1" s="30" t="s">
        <v>512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</row>
    <row r="3" spans="1:16" x14ac:dyDescent="0.2">
      <c r="A3" s="95" t="str">
        <f>'3.13.1'!D9</f>
        <v>0701 0210080610 621</v>
      </c>
      <c r="M3" s="140"/>
      <c r="N3" s="140"/>
    </row>
    <row r="4" spans="1:16" ht="12.75" customHeight="1" x14ac:dyDescent="0.2">
      <c r="A4" s="237" t="s">
        <v>185</v>
      </c>
      <c r="B4" s="237" t="s">
        <v>1</v>
      </c>
      <c r="C4" s="237" t="s">
        <v>186</v>
      </c>
      <c r="D4" s="237" t="s">
        <v>187</v>
      </c>
      <c r="E4" s="237"/>
      <c r="F4" s="237"/>
      <c r="G4" s="237"/>
      <c r="H4" s="237"/>
      <c r="I4" s="237"/>
      <c r="J4" s="237"/>
      <c r="K4" s="237"/>
      <c r="L4" s="237" t="s">
        <v>188</v>
      </c>
      <c r="M4" s="133"/>
      <c r="N4" s="140"/>
    </row>
    <row r="5" spans="1:16" x14ac:dyDescent="0.2">
      <c r="A5" s="237"/>
      <c r="B5" s="237"/>
      <c r="C5" s="237"/>
      <c r="D5" s="237" t="s">
        <v>189</v>
      </c>
      <c r="E5" s="237" t="s">
        <v>15</v>
      </c>
      <c r="F5" s="237"/>
      <c r="G5" s="237"/>
      <c r="H5" s="237"/>
      <c r="I5" s="237"/>
      <c r="J5" s="237"/>
      <c r="K5" s="237"/>
      <c r="L5" s="237"/>
      <c r="M5" s="133"/>
      <c r="N5" s="140"/>
    </row>
    <row r="6" spans="1:16" ht="12.75" customHeight="1" x14ac:dyDescent="0.2">
      <c r="A6" s="237"/>
      <c r="B6" s="237"/>
      <c r="C6" s="237"/>
      <c r="D6" s="237"/>
      <c r="E6" s="237" t="s">
        <v>190</v>
      </c>
      <c r="F6" s="237" t="s">
        <v>191</v>
      </c>
      <c r="G6" s="237" t="s">
        <v>192</v>
      </c>
      <c r="H6" s="104" t="s">
        <v>193</v>
      </c>
      <c r="I6" s="104"/>
      <c r="J6" s="237" t="s">
        <v>194</v>
      </c>
      <c r="K6" s="237"/>
      <c r="L6" s="237"/>
      <c r="M6" s="140"/>
      <c r="N6" s="140"/>
    </row>
    <row r="7" spans="1:16" ht="38.25" x14ac:dyDescent="0.2">
      <c r="A7" s="237"/>
      <c r="B7" s="237"/>
      <c r="C7" s="237"/>
      <c r="D7" s="237"/>
      <c r="E7" s="237"/>
      <c r="F7" s="237"/>
      <c r="G7" s="237"/>
      <c r="H7" s="104" t="s">
        <v>195</v>
      </c>
      <c r="I7" s="104" t="s">
        <v>196</v>
      </c>
      <c r="J7" s="104" t="s">
        <v>195</v>
      </c>
      <c r="K7" s="104" t="s">
        <v>197</v>
      </c>
      <c r="L7" s="237"/>
      <c r="M7" s="140"/>
      <c r="N7" s="140"/>
    </row>
    <row r="8" spans="1:16" x14ac:dyDescent="0.2">
      <c r="A8" s="104">
        <v>1</v>
      </c>
      <c r="B8" s="104">
        <v>2</v>
      </c>
      <c r="C8" s="104">
        <v>3</v>
      </c>
      <c r="D8" s="104">
        <v>4</v>
      </c>
      <c r="E8" s="104">
        <v>5</v>
      </c>
      <c r="F8" s="104">
        <v>6</v>
      </c>
      <c r="G8" s="104">
        <v>7</v>
      </c>
      <c r="H8" s="104">
        <v>8</v>
      </c>
      <c r="I8" s="104">
        <v>9</v>
      </c>
      <c r="J8" s="104">
        <v>10</v>
      </c>
      <c r="K8" s="104">
        <v>11</v>
      </c>
      <c r="L8" s="104">
        <v>12</v>
      </c>
      <c r="O8" s="111" t="s">
        <v>384</v>
      </c>
      <c r="P8" s="116">
        <f>2160200-140042</f>
        <v>2020158</v>
      </c>
    </row>
    <row r="9" spans="1:16" x14ac:dyDescent="0.2">
      <c r="A9" s="171" t="s">
        <v>379</v>
      </c>
      <c r="B9" s="104">
        <v>1</v>
      </c>
      <c r="C9" s="167">
        <v>0.5</v>
      </c>
      <c r="D9" s="77">
        <f t="shared" ref="D9:D14" si="0">(C9*E9)+F9+G9+I9+K9</f>
        <v>2629.9520000000002</v>
      </c>
      <c r="E9" s="172">
        <v>3016</v>
      </c>
      <c r="F9" s="77">
        <v>60.32</v>
      </c>
      <c r="G9" s="77">
        <v>75.400000000000006</v>
      </c>
      <c r="H9" s="41">
        <v>30</v>
      </c>
      <c r="I9" s="77">
        <f>((C9*E9)+F9+G9)*30/100</f>
        <v>493.11599999999999</v>
      </c>
      <c r="J9" s="41">
        <v>30</v>
      </c>
      <c r="K9" s="77">
        <f>I9</f>
        <v>493.11599999999999</v>
      </c>
      <c r="L9" s="77">
        <f t="shared" ref="L9:L15" si="1">D9*12</f>
        <v>31559.424000000003</v>
      </c>
      <c r="O9" s="111" t="s">
        <v>387</v>
      </c>
      <c r="P9" s="116">
        <f>P8/12</f>
        <v>168346.5</v>
      </c>
    </row>
    <row r="10" spans="1:16" x14ac:dyDescent="0.2">
      <c r="A10" s="171" t="s">
        <v>380</v>
      </c>
      <c r="B10" s="104">
        <f t="shared" ref="B10:B15" si="2">B9+1</f>
        <v>2</v>
      </c>
      <c r="C10" s="167">
        <v>1</v>
      </c>
      <c r="D10" s="77">
        <f t="shared" si="0"/>
        <v>6707.5840000000007</v>
      </c>
      <c r="E10" s="172">
        <v>3016</v>
      </c>
      <c r="F10" s="77">
        <v>120.64</v>
      </c>
      <c r="G10" s="77">
        <v>1055.5999999999999</v>
      </c>
      <c r="H10" s="41">
        <v>30</v>
      </c>
      <c r="I10" s="77">
        <f t="shared" ref="I10:I15" si="3">((C10*E10)+F10+G10)*30/100</f>
        <v>1257.672</v>
      </c>
      <c r="J10" s="41">
        <v>30</v>
      </c>
      <c r="K10" s="77">
        <f>I10</f>
        <v>1257.672</v>
      </c>
      <c r="L10" s="77">
        <f t="shared" si="1"/>
        <v>80491.008000000002</v>
      </c>
      <c r="O10" s="111" t="s">
        <v>385</v>
      </c>
      <c r="P10" s="116">
        <f>D9+D10+D11+D12+D13+D14</f>
        <v>67616.127999999982</v>
      </c>
    </row>
    <row r="11" spans="1:16" x14ac:dyDescent="0.2">
      <c r="A11" s="171" t="s">
        <v>381</v>
      </c>
      <c r="B11" s="104">
        <f t="shared" si="2"/>
        <v>3</v>
      </c>
      <c r="C11" s="167">
        <v>3</v>
      </c>
      <c r="D11" s="77">
        <f t="shared" si="0"/>
        <v>23987.151999999998</v>
      </c>
      <c r="E11" s="172">
        <v>3511</v>
      </c>
      <c r="F11" s="77">
        <v>421.32</v>
      </c>
      <c r="G11" s="77">
        <v>4037.65</v>
      </c>
      <c r="H11" s="41">
        <v>30</v>
      </c>
      <c r="I11" s="77">
        <f t="shared" si="3"/>
        <v>4497.5909999999994</v>
      </c>
      <c r="J11" s="41">
        <v>30</v>
      </c>
      <c r="K11" s="77">
        <f>I11</f>
        <v>4497.5909999999994</v>
      </c>
      <c r="L11" s="77">
        <f t="shared" si="1"/>
        <v>287845.82399999996</v>
      </c>
      <c r="O11" s="111" t="s">
        <v>386</v>
      </c>
      <c r="P11" s="116">
        <f>P9-P10</f>
        <v>100730.37200000002</v>
      </c>
    </row>
    <row r="12" spans="1:16" ht="25.5" x14ac:dyDescent="0.2">
      <c r="A12" s="171" t="s">
        <v>382</v>
      </c>
      <c r="B12" s="104">
        <f t="shared" si="2"/>
        <v>4</v>
      </c>
      <c r="C12" s="167">
        <v>3</v>
      </c>
      <c r="D12" s="77">
        <f t="shared" si="0"/>
        <v>16262.271999999999</v>
      </c>
      <c r="E12" s="172">
        <v>3016</v>
      </c>
      <c r="F12" s="77">
        <v>361.92</v>
      </c>
      <c r="G12" s="77">
        <v>754</v>
      </c>
      <c r="H12" s="41">
        <v>30</v>
      </c>
      <c r="I12" s="77">
        <f t="shared" si="3"/>
        <v>3049.1759999999999</v>
      </c>
      <c r="J12" s="41">
        <v>30</v>
      </c>
      <c r="K12" s="77">
        <f>I12</f>
        <v>3049.1759999999999</v>
      </c>
      <c r="L12" s="77">
        <f t="shared" si="1"/>
        <v>195147.264</v>
      </c>
    </row>
    <row r="13" spans="1:16" x14ac:dyDescent="0.2">
      <c r="A13" s="173" t="s">
        <v>383</v>
      </c>
      <c r="B13" s="104">
        <f t="shared" si="2"/>
        <v>5</v>
      </c>
      <c r="C13" s="167">
        <v>1</v>
      </c>
      <c r="D13" s="77">
        <f>(C13*E13)+F13+G13+I13+K13</f>
        <v>11966.975999999999</v>
      </c>
      <c r="E13" s="172">
        <v>4704</v>
      </c>
      <c r="F13" s="77">
        <v>188.16</v>
      </c>
      <c r="G13" s="77">
        <v>2587.1999999999998</v>
      </c>
      <c r="H13" s="41">
        <v>30</v>
      </c>
      <c r="I13" s="77">
        <f t="shared" si="3"/>
        <v>2243.808</v>
      </c>
      <c r="J13" s="41">
        <v>30</v>
      </c>
      <c r="K13" s="77">
        <f>I13</f>
        <v>2243.808</v>
      </c>
      <c r="L13" s="77">
        <f t="shared" si="1"/>
        <v>143603.712</v>
      </c>
    </row>
    <row r="14" spans="1:16" x14ac:dyDescent="0.2">
      <c r="A14" s="173" t="s">
        <v>286</v>
      </c>
      <c r="B14" s="104">
        <f t="shared" si="2"/>
        <v>6</v>
      </c>
      <c r="C14" s="167"/>
      <c r="D14" s="77">
        <f t="shared" si="0"/>
        <v>6062.192</v>
      </c>
      <c r="E14" s="172"/>
      <c r="F14" s="77"/>
      <c r="G14" s="77">
        <v>3788.87</v>
      </c>
      <c r="H14" s="41">
        <v>30</v>
      </c>
      <c r="I14" s="77">
        <f t="shared" si="3"/>
        <v>1136.6609999999998</v>
      </c>
      <c r="J14" s="41">
        <v>30</v>
      </c>
      <c r="K14" s="77">
        <f>((C14*E14)+F14+G14)*J14/100</f>
        <v>1136.6609999999998</v>
      </c>
      <c r="L14" s="77">
        <f t="shared" si="1"/>
        <v>72746.304000000004</v>
      </c>
    </row>
    <row r="15" spans="1:16" x14ac:dyDescent="0.2">
      <c r="A15" s="173" t="s">
        <v>285</v>
      </c>
      <c r="B15" s="104">
        <f t="shared" si="2"/>
        <v>7</v>
      </c>
      <c r="C15" s="167"/>
      <c r="D15" s="77">
        <f>(C15*E15)+F15+G15+I15+K15</f>
        <v>100730.372</v>
      </c>
      <c r="E15" s="172"/>
      <c r="F15" s="77"/>
      <c r="G15" s="77">
        <f>P11/1.6</f>
        <v>62956.482500000006</v>
      </c>
      <c r="H15" s="41">
        <v>30</v>
      </c>
      <c r="I15" s="77">
        <f t="shared" si="3"/>
        <v>18886.944750000002</v>
      </c>
      <c r="J15" s="41">
        <v>30</v>
      </c>
      <c r="K15" s="77">
        <f>((C15*E15)+F15+G15)*J15/100</f>
        <v>18886.944750000002</v>
      </c>
      <c r="L15" s="77">
        <f t="shared" si="1"/>
        <v>1208764.4640000002</v>
      </c>
    </row>
    <row r="16" spans="1:16" x14ac:dyDescent="0.2">
      <c r="A16" s="31" t="s">
        <v>136</v>
      </c>
      <c r="B16" s="104">
        <v>9000</v>
      </c>
      <c r="C16" s="104" t="s">
        <v>12</v>
      </c>
      <c r="D16" s="77">
        <f>SUM(D9:D15)</f>
        <v>168346.5</v>
      </c>
      <c r="E16" s="172"/>
      <c r="F16" s="77">
        <f>SUM(F9:F15)</f>
        <v>1152.3600000000001</v>
      </c>
      <c r="G16" s="77">
        <f>SUM(G9:G15)</f>
        <v>75255.202499999999</v>
      </c>
      <c r="H16" s="77"/>
      <c r="I16" s="77">
        <f>SUM(I9:I15)</f>
        <v>31564.96875</v>
      </c>
      <c r="J16" s="77"/>
      <c r="K16" s="77">
        <f>SUM(K9:K15)</f>
        <v>31564.96875</v>
      </c>
      <c r="L16" s="78">
        <f>SUM(L9:L15)</f>
        <v>2020158</v>
      </c>
    </row>
    <row r="18" spans="1:16" x14ac:dyDescent="0.2">
      <c r="A18" s="95" t="str">
        <f>'3.13.1'!I9</f>
        <v>0701 0210075880 621</v>
      </c>
    </row>
    <row r="19" spans="1:16" x14ac:dyDescent="0.2">
      <c r="A19" s="237" t="s">
        <v>185</v>
      </c>
      <c r="B19" s="237" t="s">
        <v>1</v>
      </c>
      <c r="C19" s="237" t="s">
        <v>186</v>
      </c>
      <c r="D19" s="237" t="s">
        <v>187</v>
      </c>
      <c r="E19" s="237"/>
      <c r="F19" s="237"/>
      <c r="G19" s="237"/>
      <c r="H19" s="237"/>
      <c r="I19" s="237"/>
      <c r="J19" s="237"/>
      <c r="K19" s="237"/>
      <c r="L19" s="237"/>
      <c r="M19" s="237"/>
      <c r="N19" s="237" t="s">
        <v>188</v>
      </c>
    </row>
    <row r="20" spans="1:16" x14ac:dyDescent="0.2">
      <c r="A20" s="237"/>
      <c r="B20" s="237"/>
      <c r="C20" s="237"/>
      <c r="D20" s="237" t="s">
        <v>189</v>
      </c>
      <c r="E20" s="237" t="s">
        <v>15</v>
      </c>
      <c r="F20" s="237"/>
      <c r="G20" s="237"/>
      <c r="H20" s="237"/>
      <c r="I20" s="237"/>
      <c r="J20" s="237"/>
      <c r="K20" s="237"/>
      <c r="L20" s="237"/>
      <c r="M20" s="237"/>
      <c r="N20" s="237"/>
    </row>
    <row r="21" spans="1:16" x14ac:dyDescent="0.2">
      <c r="A21" s="237"/>
      <c r="B21" s="237"/>
      <c r="C21" s="237"/>
      <c r="D21" s="237"/>
      <c r="E21" s="237" t="s">
        <v>190</v>
      </c>
      <c r="F21" s="237" t="s">
        <v>191</v>
      </c>
      <c r="G21" s="237" t="s">
        <v>192</v>
      </c>
      <c r="H21" s="239" t="s">
        <v>396</v>
      </c>
      <c r="I21" s="239" t="s">
        <v>397</v>
      </c>
      <c r="J21" s="237" t="s">
        <v>193</v>
      </c>
      <c r="K21" s="237"/>
      <c r="L21" s="237" t="s">
        <v>194</v>
      </c>
      <c r="M21" s="237"/>
      <c r="N21" s="237"/>
    </row>
    <row r="22" spans="1:16" ht="38.25" x14ac:dyDescent="0.2">
      <c r="A22" s="237"/>
      <c r="B22" s="237"/>
      <c r="C22" s="237"/>
      <c r="D22" s="237"/>
      <c r="E22" s="237"/>
      <c r="F22" s="237"/>
      <c r="G22" s="237"/>
      <c r="H22" s="241"/>
      <c r="I22" s="241"/>
      <c r="J22" s="104" t="s">
        <v>195</v>
      </c>
      <c r="K22" s="104" t="s">
        <v>196</v>
      </c>
      <c r="L22" s="104" t="s">
        <v>195</v>
      </c>
      <c r="M22" s="104" t="s">
        <v>197</v>
      </c>
      <c r="N22" s="237"/>
    </row>
    <row r="23" spans="1:16" x14ac:dyDescent="0.2">
      <c r="A23" s="104">
        <v>1</v>
      </c>
      <c r="B23" s="104">
        <f>A23+1</f>
        <v>2</v>
      </c>
      <c r="C23" s="104">
        <f t="shared" ref="C23:N23" si="4">B23+1</f>
        <v>3</v>
      </c>
      <c r="D23" s="104">
        <f t="shared" si="4"/>
        <v>4</v>
      </c>
      <c r="E23" s="104">
        <f t="shared" si="4"/>
        <v>5</v>
      </c>
      <c r="F23" s="104">
        <f t="shared" si="4"/>
        <v>6</v>
      </c>
      <c r="G23" s="104">
        <f t="shared" si="4"/>
        <v>7</v>
      </c>
      <c r="H23" s="104">
        <f t="shared" si="4"/>
        <v>8</v>
      </c>
      <c r="I23" s="104">
        <f t="shared" si="4"/>
        <v>9</v>
      </c>
      <c r="J23" s="104">
        <f t="shared" si="4"/>
        <v>10</v>
      </c>
      <c r="K23" s="104">
        <f t="shared" si="4"/>
        <v>11</v>
      </c>
      <c r="L23" s="104">
        <f t="shared" si="4"/>
        <v>12</v>
      </c>
      <c r="M23" s="104">
        <f t="shared" si="4"/>
        <v>13</v>
      </c>
      <c r="N23" s="104">
        <f t="shared" si="4"/>
        <v>14</v>
      </c>
      <c r="O23" s="111" t="s">
        <v>384</v>
      </c>
      <c r="P23" s="116">
        <v>14220745</v>
      </c>
    </row>
    <row r="24" spans="1:16" x14ac:dyDescent="0.2">
      <c r="A24" s="173" t="s">
        <v>388</v>
      </c>
      <c r="B24" s="104">
        <v>1</v>
      </c>
      <c r="C24" s="174">
        <v>16.399999999999999</v>
      </c>
      <c r="D24" s="77">
        <f>(C24*E24)+F24+G24+H24+I24+K24+M24</f>
        <v>325866.55</v>
      </c>
      <c r="E24" s="175">
        <v>6603</v>
      </c>
      <c r="F24" s="130">
        <v>4490.04</v>
      </c>
      <c r="G24" s="130">
        <v>35656.199999999997</v>
      </c>
      <c r="H24" s="130">
        <v>46934.12</v>
      </c>
      <c r="I24" s="130">
        <v>11781.76</v>
      </c>
      <c r="J24" s="41">
        <v>30</v>
      </c>
      <c r="K24" s="77">
        <v>56929.03</v>
      </c>
      <c r="L24" s="41">
        <v>30</v>
      </c>
      <c r="M24" s="77">
        <v>61786.2</v>
      </c>
      <c r="N24" s="77">
        <f>D24*12</f>
        <v>3910398.5999999996</v>
      </c>
      <c r="O24" s="111" t="s">
        <v>387</v>
      </c>
      <c r="P24" s="116">
        <f>P23/12</f>
        <v>1185062.0833333333</v>
      </c>
    </row>
    <row r="25" spans="1:16" x14ac:dyDescent="0.2">
      <c r="A25" s="173" t="s">
        <v>388</v>
      </c>
      <c r="B25" s="104">
        <f>B24+1</f>
        <v>2</v>
      </c>
      <c r="C25" s="176">
        <v>10.4</v>
      </c>
      <c r="D25" s="77">
        <f t="shared" ref="D25:D33" si="5">(C25*E25)+F25+G25+H25+I25+K25+M25</f>
        <v>234190.70400000003</v>
      </c>
      <c r="E25" s="175">
        <v>7521</v>
      </c>
      <c r="F25" s="130">
        <v>2105.88</v>
      </c>
      <c r="G25" s="130">
        <v>23540.73</v>
      </c>
      <c r="H25" s="130">
        <v>35032.82</v>
      </c>
      <c r="I25" s="130">
        <v>7471.36</v>
      </c>
      <c r="J25" s="41">
        <v>30</v>
      </c>
      <c r="K25" s="77">
        <f t="shared" ref="K25:K33" si="6">((C25*E25)+F25+G25+H25+I25)*30/100</f>
        <v>43910.757000000005</v>
      </c>
      <c r="L25" s="41">
        <v>30</v>
      </c>
      <c r="M25" s="77">
        <f t="shared" ref="M25:M34" si="7">((C25*E25)+F25+G25+H25+I25)*30/100</f>
        <v>43910.757000000005</v>
      </c>
      <c r="N25" s="77">
        <f t="shared" ref="N25:N34" si="8">D25*12</f>
        <v>2810288.4480000003</v>
      </c>
      <c r="O25" s="111" t="s">
        <v>385</v>
      </c>
      <c r="P25" s="116">
        <f>D24+D25+D26+D27+D28+D29+D30+D31+D32+D33</f>
        <v>895720.19799999986</v>
      </c>
    </row>
    <row r="26" spans="1:16" ht="25.5" x14ac:dyDescent="0.2">
      <c r="A26" s="173" t="s">
        <v>389</v>
      </c>
      <c r="B26" s="104">
        <f t="shared" ref="B26:B34" si="9">B25+1</f>
        <v>3</v>
      </c>
      <c r="C26" s="176">
        <v>1.63</v>
      </c>
      <c r="D26" s="77">
        <f t="shared" si="5"/>
        <v>37081.792000000001</v>
      </c>
      <c r="E26" s="175">
        <v>6556</v>
      </c>
      <c r="F26" s="130">
        <v>983.4</v>
      </c>
      <c r="G26" s="130">
        <v>5949.57</v>
      </c>
      <c r="H26" s="130">
        <v>5556.87</v>
      </c>
      <c r="I26" s="130"/>
      <c r="J26" s="41">
        <v>30</v>
      </c>
      <c r="K26" s="77">
        <f t="shared" si="6"/>
        <v>6952.8359999999993</v>
      </c>
      <c r="L26" s="41">
        <v>30</v>
      </c>
      <c r="M26" s="77">
        <f t="shared" si="7"/>
        <v>6952.8359999999993</v>
      </c>
      <c r="N26" s="77">
        <f t="shared" si="8"/>
        <v>444981.50400000002</v>
      </c>
      <c r="O26" s="111" t="s">
        <v>398</v>
      </c>
      <c r="P26" s="116">
        <f>P24-P25</f>
        <v>289341.8853333334</v>
      </c>
    </row>
    <row r="27" spans="1:16" ht="25.5" x14ac:dyDescent="0.2">
      <c r="A27" s="173" t="s">
        <v>390</v>
      </c>
      <c r="B27" s="104">
        <f t="shared" si="9"/>
        <v>4</v>
      </c>
      <c r="C27" s="176">
        <v>1.75</v>
      </c>
      <c r="D27" s="77">
        <f t="shared" si="5"/>
        <v>30620.159999999996</v>
      </c>
      <c r="E27" s="175">
        <v>5760</v>
      </c>
      <c r="F27" s="130">
        <v>864</v>
      </c>
      <c r="G27" s="130">
        <v>3312</v>
      </c>
      <c r="H27" s="130">
        <v>4881.6000000000004</v>
      </c>
      <c r="I27" s="130"/>
      <c r="J27" s="41">
        <v>30</v>
      </c>
      <c r="K27" s="77">
        <f t="shared" si="6"/>
        <v>5741.28</v>
      </c>
      <c r="L27" s="41">
        <v>30</v>
      </c>
      <c r="M27" s="77">
        <f t="shared" si="7"/>
        <v>5741.28</v>
      </c>
      <c r="N27" s="77">
        <f t="shared" si="8"/>
        <v>367441.91999999993</v>
      </c>
    </row>
    <row r="28" spans="1:16" ht="25.5" x14ac:dyDescent="0.2">
      <c r="A28" s="173" t="s">
        <v>390</v>
      </c>
      <c r="B28" s="104">
        <f t="shared" si="9"/>
        <v>5</v>
      </c>
      <c r="C28" s="176">
        <v>1.5</v>
      </c>
      <c r="D28" s="77">
        <f t="shared" si="5"/>
        <v>32045.728000000003</v>
      </c>
      <c r="E28" s="175">
        <v>6556</v>
      </c>
      <c r="F28" s="130">
        <v>1311.2</v>
      </c>
      <c r="G28" s="130">
        <v>3769.7</v>
      </c>
      <c r="H28" s="130">
        <v>5113.68</v>
      </c>
      <c r="I28" s="130"/>
      <c r="J28" s="41">
        <v>30</v>
      </c>
      <c r="K28" s="77">
        <f t="shared" si="6"/>
        <v>6008.5740000000005</v>
      </c>
      <c r="L28" s="41">
        <v>30</v>
      </c>
      <c r="M28" s="77">
        <f t="shared" si="7"/>
        <v>6008.5740000000005</v>
      </c>
      <c r="N28" s="77">
        <f t="shared" si="8"/>
        <v>384548.73600000003</v>
      </c>
    </row>
    <row r="29" spans="1:16" ht="25.5" x14ac:dyDescent="0.2">
      <c r="A29" s="173" t="s">
        <v>391</v>
      </c>
      <c r="B29" s="104">
        <f t="shared" si="9"/>
        <v>6</v>
      </c>
      <c r="C29" s="176">
        <v>1.5</v>
      </c>
      <c r="D29" s="77">
        <f t="shared" si="5"/>
        <v>36882.992000000006</v>
      </c>
      <c r="E29" s="175">
        <v>7521</v>
      </c>
      <c r="F29" s="130">
        <v>1203.3599999999999</v>
      </c>
      <c r="G29" s="130">
        <v>4700.63</v>
      </c>
      <c r="H29" s="130">
        <v>5866.38</v>
      </c>
      <c r="I29" s="130"/>
      <c r="J29" s="41">
        <v>30</v>
      </c>
      <c r="K29" s="77">
        <f t="shared" si="6"/>
        <v>6915.5610000000006</v>
      </c>
      <c r="L29" s="41">
        <v>30</v>
      </c>
      <c r="M29" s="77">
        <f t="shared" si="7"/>
        <v>6915.5610000000006</v>
      </c>
      <c r="N29" s="77">
        <f t="shared" si="8"/>
        <v>442595.9040000001</v>
      </c>
    </row>
    <row r="30" spans="1:16" x14ac:dyDescent="0.2">
      <c r="A30" s="173" t="s">
        <v>392</v>
      </c>
      <c r="B30" s="104">
        <f t="shared" si="9"/>
        <v>7</v>
      </c>
      <c r="C30" s="176">
        <v>1</v>
      </c>
      <c r="D30" s="77">
        <f t="shared" si="5"/>
        <v>33858.207999999991</v>
      </c>
      <c r="E30" s="175">
        <v>8234</v>
      </c>
      <c r="F30" s="130">
        <v>1646.8</v>
      </c>
      <c r="G30" s="130">
        <v>6998.9</v>
      </c>
      <c r="H30" s="130">
        <v>4281.68</v>
      </c>
      <c r="I30" s="130"/>
      <c r="J30" s="41">
        <v>30</v>
      </c>
      <c r="K30" s="77">
        <f t="shared" si="6"/>
        <v>6348.4139999999989</v>
      </c>
      <c r="L30" s="41">
        <v>30</v>
      </c>
      <c r="M30" s="77">
        <f t="shared" si="7"/>
        <v>6348.4139999999989</v>
      </c>
      <c r="N30" s="77">
        <f t="shared" si="8"/>
        <v>406298.49599999993</v>
      </c>
    </row>
    <row r="31" spans="1:16" ht="25.5" x14ac:dyDescent="0.2">
      <c r="A31" s="173" t="s">
        <v>393</v>
      </c>
      <c r="B31" s="104">
        <f t="shared" si="9"/>
        <v>8</v>
      </c>
      <c r="C31" s="176">
        <v>2.5</v>
      </c>
      <c r="D31" s="77">
        <f t="shared" si="5"/>
        <v>66201.36</v>
      </c>
      <c r="E31" s="175">
        <v>8234</v>
      </c>
      <c r="F31" s="130">
        <v>4117</v>
      </c>
      <c r="G31" s="130">
        <v>7204.75</v>
      </c>
      <c r="H31" s="130">
        <v>9469.1</v>
      </c>
      <c r="I31" s="130"/>
      <c r="J31" s="41">
        <v>30</v>
      </c>
      <c r="K31" s="77">
        <f t="shared" si="6"/>
        <v>12412.754999999999</v>
      </c>
      <c r="L31" s="41">
        <v>30</v>
      </c>
      <c r="M31" s="77">
        <f t="shared" si="7"/>
        <v>12412.754999999999</v>
      </c>
      <c r="N31" s="77">
        <f t="shared" si="8"/>
        <v>794416.32000000007</v>
      </c>
    </row>
    <row r="32" spans="1:16" ht="25.5" x14ac:dyDescent="0.2">
      <c r="A32" s="173" t="s">
        <v>509</v>
      </c>
      <c r="B32" s="104">
        <f t="shared" si="9"/>
        <v>9</v>
      </c>
      <c r="C32" s="176">
        <v>0.5</v>
      </c>
      <c r="D32" s="77">
        <f t="shared" si="5"/>
        <v>10341.903999999999</v>
      </c>
      <c r="E32" s="175">
        <v>8234</v>
      </c>
      <c r="F32" s="130">
        <v>823.4</v>
      </c>
      <c r="G32" s="130">
        <v>411.7</v>
      </c>
      <c r="H32" s="130">
        <v>1111.5899999999999</v>
      </c>
      <c r="I32" s="130"/>
      <c r="J32" s="41">
        <v>30</v>
      </c>
      <c r="K32" s="77">
        <f t="shared" si="6"/>
        <v>1939.1069999999997</v>
      </c>
      <c r="L32" s="41">
        <v>30</v>
      </c>
      <c r="M32" s="77">
        <f t="shared" si="7"/>
        <v>1939.1069999999997</v>
      </c>
      <c r="N32" s="77">
        <f t="shared" si="8"/>
        <v>124102.84799999998</v>
      </c>
    </row>
    <row r="33" spans="1:16" x14ac:dyDescent="0.2">
      <c r="A33" s="173" t="s">
        <v>394</v>
      </c>
      <c r="B33" s="104">
        <f t="shared" si="9"/>
        <v>10</v>
      </c>
      <c r="C33" s="176"/>
      <c r="D33" s="77">
        <f t="shared" si="5"/>
        <v>88630.799999999988</v>
      </c>
      <c r="E33" s="175"/>
      <c r="F33" s="130"/>
      <c r="G33" s="130">
        <v>55394.25</v>
      </c>
      <c r="H33" s="130"/>
      <c r="I33" s="130"/>
      <c r="J33" s="41">
        <v>30</v>
      </c>
      <c r="K33" s="77">
        <f t="shared" si="6"/>
        <v>16618.275000000001</v>
      </c>
      <c r="L33" s="41">
        <v>30</v>
      </c>
      <c r="M33" s="77">
        <f t="shared" si="7"/>
        <v>16618.275000000001</v>
      </c>
      <c r="N33" s="77">
        <f t="shared" si="8"/>
        <v>1063569.5999999999</v>
      </c>
    </row>
    <row r="34" spans="1:16" ht="25.5" x14ac:dyDescent="0.2">
      <c r="A34" s="173" t="s">
        <v>395</v>
      </c>
      <c r="B34" s="104">
        <f t="shared" si="9"/>
        <v>11</v>
      </c>
      <c r="C34" s="176"/>
      <c r="D34" s="77">
        <f>G34+K34+M34</f>
        <v>289341.8853333334</v>
      </c>
      <c r="E34" s="175"/>
      <c r="F34" s="130"/>
      <c r="G34" s="130">
        <f>P26/1.6</f>
        <v>180838.67833333337</v>
      </c>
      <c r="H34" s="130"/>
      <c r="I34" s="130"/>
      <c r="J34" s="41">
        <v>30</v>
      </c>
      <c r="K34" s="77">
        <f>((C34*E34)+F34+G34+H34+I34)*30/100</f>
        <v>54251.603500000012</v>
      </c>
      <c r="L34" s="41">
        <v>30</v>
      </c>
      <c r="M34" s="77">
        <f t="shared" si="7"/>
        <v>54251.603500000012</v>
      </c>
      <c r="N34" s="77">
        <f t="shared" si="8"/>
        <v>3472102.6240000008</v>
      </c>
    </row>
    <row r="35" spans="1:16" x14ac:dyDescent="0.2">
      <c r="A35" s="31" t="s">
        <v>136</v>
      </c>
      <c r="B35" s="104">
        <v>9000</v>
      </c>
      <c r="C35" s="104" t="s">
        <v>12</v>
      </c>
      <c r="D35" s="77">
        <f>SUM(D24:D34)</f>
        <v>1185062.0833333333</v>
      </c>
      <c r="E35" s="77"/>
      <c r="F35" s="77">
        <f>SUM(F24:F34)</f>
        <v>17545.080000000002</v>
      </c>
      <c r="G35" s="77">
        <f>SUM(G24:G34)</f>
        <v>327777.1083333334</v>
      </c>
      <c r="H35" s="77">
        <f>SUM(H24:H34)</f>
        <v>118247.84</v>
      </c>
      <c r="I35" s="77">
        <f>SUM(I24:I34)</f>
        <v>19253.12</v>
      </c>
      <c r="J35" s="77"/>
      <c r="K35" s="77">
        <f>SUM(K24:K34)</f>
        <v>218028.1925</v>
      </c>
      <c r="L35" s="77"/>
      <c r="M35" s="77">
        <f>SUM(M24:M34)</f>
        <v>222885.36249999999</v>
      </c>
      <c r="N35" s="78">
        <f>SUM(N24:N34)</f>
        <v>14220745</v>
      </c>
    </row>
    <row r="36" spans="1:16" x14ac:dyDescent="0.2">
      <c r="A36" s="133"/>
      <c r="B36" s="108"/>
      <c r="C36" s="108"/>
      <c r="D36" s="177"/>
      <c r="E36" s="177"/>
      <c r="F36" s="177"/>
      <c r="G36" s="177"/>
      <c r="H36" s="177"/>
      <c r="I36" s="177"/>
      <c r="J36" s="177"/>
      <c r="K36" s="177"/>
      <c r="L36" s="177"/>
      <c r="M36" s="177"/>
      <c r="N36" s="178"/>
    </row>
    <row r="37" spans="1:16" x14ac:dyDescent="0.2">
      <c r="A37" s="95" t="str">
        <f>'3.13.1'!J9</f>
        <v>0701 0210074080 621</v>
      </c>
    </row>
    <row r="38" spans="1:16" ht="12.75" customHeight="1" x14ac:dyDescent="0.2">
      <c r="A38" s="237" t="s">
        <v>185</v>
      </c>
      <c r="B38" s="237" t="s">
        <v>1</v>
      </c>
      <c r="C38" s="237" t="s">
        <v>186</v>
      </c>
      <c r="D38" s="237" t="s">
        <v>187</v>
      </c>
      <c r="E38" s="237"/>
      <c r="F38" s="237"/>
      <c r="G38" s="237"/>
      <c r="H38" s="237"/>
      <c r="I38" s="237"/>
      <c r="J38" s="237"/>
      <c r="K38" s="237"/>
      <c r="L38" s="237"/>
      <c r="M38" s="239" t="s">
        <v>188</v>
      </c>
      <c r="N38" s="140"/>
    </row>
    <row r="39" spans="1:16" x14ac:dyDescent="0.2">
      <c r="A39" s="237"/>
      <c r="B39" s="237"/>
      <c r="C39" s="237"/>
      <c r="D39" s="237" t="s">
        <v>189</v>
      </c>
      <c r="E39" s="237" t="s">
        <v>15</v>
      </c>
      <c r="F39" s="237"/>
      <c r="G39" s="237"/>
      <c r="H39" s="237"/>
      <c r="I39" s="237"/>
      <c r="J39" s="237"/>
      <c r="K39" s="237"/>
      <c r="L39" s="237"/>
      <c r="M39" s="240"/>
      <c r="N39" s="140"/>
    </row>
    <row r="40" spans="1:16" ht="37.5" customHeight="1" x14ac:dyDescent="0.2">
      <c r="A40" s="237"/>
      <c r="B40" s="237"/>
      <c r="C40" s="237"/>
      <c r="D40" s="237"/>
      <c r="E40" s="237" t="s">
        <v>190</v>
      </c>
      <c r="F40" s="237" t="s">
        <v>191</v>
      </c>
      <c r="G40" s="237" t="s">
        <v>192</v>
      </c>
      <c r="H40" s="248" t="s">
        <v>396</v>
      </c>
      <c r="I40" s="104" t="s">
        <v>193</v>
      </c>
      <c r="J40" s="104"/>
      <c r="K40" s="104" t="s">
        <v>194</v>
      </c>
      <c r="L40" s="104"/>
      <c r="M40" s="240"/>
      <c r="N40" s="140"/>
    </row>
    <row r="41" spans="1:16" ht="38.25" x14ac:dyDescent="0.2">
      <c r="A41" s="237"/>
      <c r="B41" s="237"/>
      <c r="C41" s="237"/>
      <c r="D41" s="237"/>
      <c r="E41" s="237"/>
      <c r="F41" s="237"/>
      <c r="G41" s="237"/>
      <c r="H41" s="248"/>
      <c r="I41" s="104" t="s">
        <v>195</v>
      </c>
      <c r="J41" s="104" t="s">
        <v>196</v>
      </c>
      <c r="K41" s="104" t="s">
        <v>195</v>
      </c>
      <c r="L41" s="104" t="s">
        <v>197</v>
      </c>
      <c r="M41" s="241"/>
    </row>
    <row r="42" spans="1:16" x14ac:dyDescent="0.2">
      <c r="A42" s="104">
        <v>1</v>
      </c>
      <c r="B42" s="104">
        <f>A42+1</f>
        <v>2</v>
      </c>
      <c r="C42" s="104">
        <f t="shared" ref="C42:M42" si="10">B42+1</f>
        <v>3</v>
      </c>
      <c r="D42" s="104">
        <f t="shared" si="10"/>
        <v>4</v>
      </c>
      <c r="E42" s="104">
        <f t="shared" si="10"/>
        <v>5</v>
      </c>
      <c r="F42" s="104">
        <f t="shared" si="10"/>
        <v>6</v>
      </c>
      <c r="G42" s="104">
        <f t="shared" si="10"/>
        <v>7</v>
      </c>
      <c r="H42" s="104">
        <f t="shared" si="10"/>
        <v>8</v>
      </c>
      <c r="I42" s="104">
        <f t="shared" si="10"/>
        <v>9</v>
      </c>
      <c r="J42" s="104">
        <f t="shared" si="10"/>
        <v>10</v>
      </c>
      <c r="K42" s="104">
        <f t="shared" si="10"/>
        <v>11</v>
      </c>
      <c r="L42" s="104">
        <f t="shared" si="10"/>
        <v>12</v>
      </c>
      <c r="M42" s="104">
        <f t="shared" si="10"/>
        <v>13</v>
      </c>
    </row>
    <row r="43" spans="1:16" x14ac:dyDescent="0.2">
      <c r="A43" s="173" t="s">
        <v>399</v>
      </c>
      <c r="B43" s="104">
        <v>1</v>
      </c>
      <c r="C43" s="176">
        <v>1</v>
      </c>
      <c r="D43" s="51">
        <f>(C43*E43)+F43+G43+H43+J43+L43</f>
        <v>9830.7999999999993</v>
      </c>
      <c r="E43" s="179">
        <v>3511</v>
      </c>
      <c r="F43" s="180"/>
      <c r="G43" s="180">
        <v>2633.25</v>
      </c>
      <c r="H43" s="162"/>
      <c r="I43" s="79">
        <v>30</v>
      </c>
      <c r="J43" s="51">
        <f>((C43*E43)+F43+G43+H43)*30/100</f>
        <v>1843.2750000000001</v>
      </c>
      <c r="K43" s="79">
        <v>30</v>
      </c>
      <c r="L43" s="51">
        <f>J43</f>
        <v>1843.2750000000001</v>
      </c>
      <c r="M43" s="51">
        <f>D43*12</f>
        <v>117969.59999999999</v>
      </c>
      <c r="O43" s="111" t="s">
        <v>384</v>
      </c>
      <c r="P43" s="116">
        <v>5812298.7999999998</v>
      </c>
    </row>
    <row r="44" spans="1:16" x14ac:dyDescent="0.2">
      <c r="A44" s="173" t="s">
        <v>400</v>
      </c>
      <c r="B44" s="104">
        <f>B43+1</f>
        <v>2</v>
      </c>
      <c r="C44" s="176">
        <v>1</v>
      </c>
      <c r="D44" s="51">
        <f t="shared" ref="D44:D55" si="11">(C44*E44)+F44+G44+H44+J44+L44</f>
        <v>32002.880000000005</v>
      </c>
      <c r="E44" s="179">
        <v>15386</v>
      </c>
      <c r="F44" s="180">
        <v>2307.9</v>
      </c>
      <c r="G44" s="180">
        <v>2307.9</v>
      </c>
      <c r="H44" s="162"/>
      <c r="I44" s="79">
        <v>30</v>
      </c>
      <c r="J44" s="51">
        <f t="shared" ref="J44:J55" si="12">((C44*E44)+F44+G44+H44)*30/100</f>
        <v>6000.5400000000009</v>
      </c>
      <c r="K44" s="79">
        <v>30</v>
      </c>
      <c r="L44" s="51">
        <f t="shared" ref="L44:L54" si="13">J44</f>
        <v>6000.5400000000009</v>
      </c>
      <c r="M44" s="51">
        <f t="shared" ref="M44:M55" si="14">D44*12</f>
        <v>384034.56000000006</v>
      </c>
      <c r="O44" s="111" t="s">
        <v>387</v>
      </c>
      <c r="P44" s="116">
        <f>P43/12</f>
        <v>484358.23333333334</v>
      </c>
    </row>
    <row r="45" spans="1:16" x14ac:dyDescent="0.2">
      <c r="A45" s="173" t="s">
        <v>401</v>
      </c>
      <c r="B45" s="104">
        <f t="shared" ref="B45:B55" si="15">B44+1</f>
        <v>3</v>
      </c>
      <c r="C45" s="176">
        <v>1</v>
      </c>
      <c r="D45" s="51">
        <f t="shared" si="11"/>
        <v>37663.040000000001</v>
      </c>
      <c r="E45" s="179">
        <v>13078</v>
      </c>
      <c r="F45" s="180"/>
      <c r="G45" s="180">
        <v>7192.9</v>
      </c>
      <c r="H45" s="162">
        <v>3268.5</v>
      </c>
      <c r="I45" s="79">
        <v>30</v>
      </c>
      <c r="J45" s="51">
        <f t="shared" si="12"/>
        <v>7061.82</v>
      </c>
      <c r="K45" s="79">
        <v>30</v>
      </c>
      <c r="L45" s="51">
        <f t="shared" si="13"/>
        <v>7061.82</v>
      </c>
      <c r="M45" s="51">
        <f t="shared" si="14"/>
        <v>451956.47999999998</v>
      </c>
      <c r="O45" s="111" t="s">
        <v>385</v>
      </c>
      <c r="P45" s="116">
        <f>D43+D44+D45+D46+D47+D48+D49+D50+D51+D52+D53+D54</f>
        <v>272636.56</v>
      </c>
    </row>
    <row r="46" spans="1:16" ht="25.5" x14ac:dyDescent="0.2">
      <c r="A46" s="173" t="s">
        <v>402</v>
      </c>
      <c r="B46" s="104">
        <f t="shared" si="15"/>
        <v>4</v>
      </c>
      <c r="C46" s="176">
        <v>0.3</v>
      </c>
      <c r="D46" s="51">
        <f t="shared" si="11"/>
        <v>6591.3119999999999</v>
      </c>
      <c r="E46" s="179">
        <v>13078</v>
      </c>
      <c r="F46" s="180"/>
      <c r="G46" s="180">
        <v>196.17</v>
      </c>
      <c r="H46" s="162"/>
      <c r="I46" s="79">
        <v>30</v>
      </c>
      <c r="J46" s="51">
        <f t="shared" si="12"/>
        <v>1235.8709999999999</v>
      </c>
      <c r="K46" s="79">
        <v>30</v>
      </c>
      <c r="L46" s="51">
        <f t="shared" si="13"/>
        <v>1235.8709999999999</v>
      </c>
      <c r="M46" s="51">
        <f t="shared" si="14"/>
        <v>79095.744000000006</v>
      </c>
      <c r="O46" s="111" t="s">
        <v>398</v>
      </c>
      <c r="P46" s="116">
        <f>P44-P45</f>
        <v>211721.67333333334</v>
      </c>
    </row>
    <row r="47" spans="1:16" x14ac:dyDescent="0.2">
      <c r="A47" s="173" t="s">
        <v>284</v>
      </c>
      <c r="B47" s="104">
        <f t="shared" si="15"/>
        <v>5</v>
      </c>
      <c r="C47" s="176">
        <v>1</v>
      </c>
      <c r="D47" s="51">
        <f t="shared" si="11"/>
        <v>28248.48</v>
      </c>
      <c r="E47" s="179">
        <v>13078</v>
      </c>
      <c r="F47" s="180"/>
      <c r="G47" s="180">
        <v>4577.3</v>
      </c>
      <c r="H47" s="162"/>
      <c r="I47" s="79">
        <v>30</v>
      </c>
      <c r="J47" s="51">
        <f t="shared" si="12"/>
        <v>5296.59</v>
      </c>
      <c r="K47" s="79">
        <v>30</v>
      </c>
      <c r="L47" s="51">
        <f t="shared" si="13"/>
        <v>5296.59</v>
      </c>
      <c r="M47" s="51">
        <f t="shared" si="14"/>
        <v>338981.76</v>
      </c>
    </row>
    <row r="48" spans="1:16" x14ac:dyDescent="0.2">
      <c r="A48" s="173" t="s">
        <v>498</v>
      </c>
      <c r="B48" s="104">
        <f t="shared" si="15"/>
        <v>6</v>
      </c>
      <c r="C48" s="176">
        <v>0.5</v>
      </c>
      <c r="D48" s="51">
        <f t="shared" si="11"/>
        <v>4282.08</v>
      </c>
      <c r="E48" s="179">
        <v>4282</v>
      </c>
      <c r="F48" s="180"/>
      <c r="G48" s="180">
        <v>535.29999999999995</v>
      </c>
      <c r="H48" s="162"/>
      <c r="I48" s="79">
        <v>30</v>
      </c>
      <c r="J48" s="51">
        <f t="shared" si="12"/>
        <v>802.89</v>
      </c>
      <c r="K48" s="79">
        <v>30</v>
      </c>
      <c r="L48" s="51">
        <f t="shared" si="13"/>
        <v>802.89</v>
      </c>
      <c r="M48" s="51">
        <f t="shared" si="14"/>
        <v>51384.959999999999</v>
      </c>
    </row>
    <row r="49" spans="1:13" ht="25.5" x14ac:dyDescent="0.2">
      <c r="A49" s="173" t="s">
        <v>403</v>
      </c>
      <c r="B49" s="104">
        <f t="shared" si="15"/>
        <v>7</v>
      </c>
      <c r="C49" s="176">
        <v>15.25</v>
      </c>
      <c r="D49" s="51">
        <f t="shared" si="11"/>
        <v>118349.18400000001</v>
      </c>
      <c r="E49" s="179">
        <v>3964</v>
      </c>
      <c r="F49" s="180">
        <v>4003.64</v>
      </c>
      <c r="G49" s="180">
        <v>9513.6</v>
      </c>
      <c r="H49" s="162"/>
      <c r="I49" s="79">
        <v>30</v>
      </c>
      <c r="J49" s="51">
        <f t="shared" si="12"/>
        <v>22190.472000000002</v>
      </c>
      <c r="K49" s="79">
        <v>30</v>
      </c>
      <c r="L49" s="51">
        <f t="shared" si="13"/>
        <v>22190.472000000002</v>
      </c>
      <c r="M49" s="51">
        <f t="shared" si="14"/>
        <v>1420190.2080000001</v>
      </c>
    </row>
    <row r="50" spans="1:13" ht="25.5" x14ac:dyDescent="0.2">
      <c r="A50" s="173" t="s">
        <v>404</v>
      </c>
      <c r="B50" s="104">
        <f t="shared" si="15"/>
        <v>8</v>
      </c>
      <c r="C50" s="176">
        <v>0.25</v>
      </c>
      <c r="D50" s="51">
        <f t="shared" si="11"/>
        <v>1798.4480000000001</v>
      </c>
      <c r="E50" s="179">
        <v>4282</v>
      </c>
      <c r="F50" s="180"/>
      <c r="G50" s="180">
        <v>53.53</v>
      </c>
      <c r="H50" s="162"/>
      <c r="I50" s="79">
        <v>30</v>
      </c>
      <c r="J50" s="51">
        <f t="shared" si="12"/>
        <v>337.209</v>
      </c>
      <c r="K50" s="79">
        <v>30</v>
      </c>
      <c r="L50" s="51">
        <f t="shared" si="13"/>
        <v>337.209</v>
      </c>
      <c r="M50" s="51">
        <f t="shared" si="14"/>
        <v>21581.376</v>
      </c>
    </row>
    <row r="51" spans="1:13" ht="25.5" x14ac:dyDescent="0.2">
      <c r="A51" s="173" t="s">
        <v>405</v>
      </c>
      <c r="B51" s="104">
        <f t="shared" si="15"/>
        <v>9</v>
      </c>
      <c r="C51" s="176">
        <v>0.15</v>
      </c>
      <c r="D51" s="51">
        <f t="shared" si="11"/>
        <v>1079.0719999999999</v>
      </c>
      <c r="E51" s="179">
        <v>4282</v>
      </c>
      <c r="F51" s="180"/>
      <c r="G51" s="180">
        <v>32.119999999999997</v>
      </c>
      <c r="H51" s="162"/>
      <c r="I51" s="79">
        <v>30</v>
      </c>
      <c r="J51" s="51">
        <f t="shared" si="12"/>
        <v>202.32599999999999</v>
      </c>
      <c r="K51" s="79">
        <v>30</v>
      </c>
      <c r="L51" s="51">
        <f t="shared" si="13"/>
        <v>202.32599999999999</v>
      </c>
      <c r="M51" s="51">
        <f t="shared" si="14"/>
        <v>12948.863999999998</v>
      </c>
    </row>
    <row r="52" spans="1:13" x14ac:dyDescent="0.2">
      <c r="A52" s="173" t="s">
        <v>394</v>
      </c>
      <c r="B52" s="104">
        <f t="shared" si="15"/>
        <v>10</v>
      </c>
      <c r="C52" s="176"/>
      <c r="D52" s="51">
        <f t="shared" si="11"/>
        <v>12117.663999999999</v>
      </c>
      <c r="E52" s="180"/>
      <c r="F52" s="180"/>
      <c r="G52" s="180">
        <v>7573.54</v>
      </c>
      <c r="H52" s="162"/>
      <c r="I52" s="79">
        <v>30</v>
      </c>
      <c r="J52" s="51">
        <f t="shared" si="12"/>
        <v>2272.0619999999999</v>
      </c>
      <c r="K52" s="79">
        <v>30</v>
      </c>
      <c r="L52" s="51">
        <f t="shared" si="13"/>
        <v>2272.0619999999999</v>
      </c>
      <c r="M52" s="51">
        <f t="shared" si="14"/>
        <v>145411.96799999999</v>
      </c>
    </row>
    <row r="53" spans="1:13" ht="38.25" x14ac:dyDescent="0.2">
      <c r="A53" s="173" t="s">
        <v>406</v>
      </c>
      <c r="B53" s="104">
        <f t="shared" si="15"/>
        <v>11</v>
      </c>
      <c r="C53" s="176"/>
      <c r="D53" s="51">
        <f t="shared" si="11"/>
        <v>14026.895999999999</v>
      </c>
      <c r="E53" s="180"/>
      <c r="F53" s="180"/>
      <c r="G53" s="180">
        <v>8766.81</v>
      </c>
      <c r="H53" s="162"/>
      <c r="I53" s="79">
        <v>30</v>
      </c>
      <c r="J53" s="51">
        <f t="shared" si="12"/>
        <v>2630.0429999999997</v>
      </c>
      <c r="K53" s="79">
        <v>30</v>
      </c>
      <c r="L53" s="51">
        <f t="shared" si="13"/>
        <v>2630.0429999999997</v>
      </c>
      <c r="M53" s="51">
        <f t="shared" si="14"/>
        <v>168322.75199999998</v>
      </c>
    </row>
    <row r="54" spans="1:13" ht="25.5" x14ac:dyDescent="0.2">
      <c r="A54" s="173" t="s">
        <v>407</v>
      </c>
      <c r="B54" s="104">
        <f t="shared" si="15"/>
        <v>12</v>
      </c>
      <c r="C54" s="176"/>
      <c r="D54" s="51">
        <f t="shared" si="11"/>
        <v>6646.7039999999988</v>
      </c>
      <c r="E54" s="180"/>
      <c r="F54" s="180"/>
      <c r="G54" s="180">
        <v>4154.1899999999996</v>
      </c>
      <c r="H54" s="162"/>
      <c r="I54" s="79">
        <v>30</v>
      </c>
      <c r="J54" s="51">
        <f t="shared" si="12"/>
        <v>1246.2569999999998</v>
      </c>
      <c r="K54" s="79">
        <v>30</v>
      </c>
      <c r="L54" s="51">
        <f t="shared" si="13"/>
        <v>1246.2569999999998</v>
      </c>
      <c r="M54" s="51">
        <f t="shared" si="14"/>
        <v>79760.447999999989</v>
      </c>
    </row>
    <row r="55" spans="1:13" x14ac:dyDescent="0.2">
      <c r="A55" s="173" t="s">
        <v>408</v>
      </c>
      <c r="B55" s="104">
        <f t="shared" si="15"/>
        <v>13</v>
      </c>
      <c r="C55" s="176"/>
      <c r="D55" s="51">
        <f t="shared" si="11"/>
        <v>211721.67333333334</v>
      </c>
      <c r="E55" s="180"/>
      <c r="F55" s="180"/>
      <c r="G55" s="180">
        <f>P46/1.6</f>
        <v>132326.04583333334</v>
      </c>
      <c r="H55" s="162"/>
      <c r="I55" s="79">
        <v>30</v>
      </c>
      <c r="J55" s="51">
        <f t="shared" si="12"/>
        <v>39697.813750000001</v>
      </c>
      <c r="K55" s="79">
        <v>30</v>
      </c>
      <c r="L55" s="51">
        <f>(E55+F55+G55)*K55/100</f>
        <v>39697.813750000001</v>
      </c>
      <c r="M55" s="51">
        <f t="shared" si="14"/>
        <v>2540660.08</v>
      </c>
    </row>
    <row r="56" spans="1:13" x14ac:dyDescent="0.2">
      <c r="A56" s="31" t="s">
        <v>136</v>
      </c>
      <c r="B56" s="104">
        <v>9000</v>
      </c>
      <c r="C56" s="104" t="s">
        <v>12</v>
      </c>
      <c r="D56" s="51">
        <f>SUM(D43:D55)</f>
        <v>484358.23333333334</v>
      </c>
      <c r="E56" s="51">
        <f>SUM(E43:E55)</f>
        <v>74941</v>
      </c>
      <c r="F56" s="51">
        <f>SUM(F43:F55)</f>
        <v>6311.54</v>
      </c>
      <c r="G56" s="51">
        <f>SUM(G43:G55)</f>
        <v>179862.65583333332</v>
      </c>
      <c r="H56" s="162"/>
      <c r="I56" s="51"/>
      <c r="J56" s="51">
        <f>SUM(J43:J55)</f>
        <v>90817.168749999997</v>
      </c>
      <c r="K56" s="51"/>
      <c r="L56" s="51">
        <f>SUM(L43:L55)</f>
        <v>90817.168749999997</v>
      </c>
      <c r="M56" s="150">
        <f>SUM(M43:M55)</f>
        <v>5812298.7999999998</v>
      </c>
    </row>
    <row r="57" spans="1:13" x14ac:dyDescent="0.2">
      <c r="M57" s="140"/>
    </row>
    <row r="59" spans="1:13" x14ac:dyDescent="0.2">
      <c r="A59" s="95" t="str">
        <f>'3.13.1'!M9</f>
        <v>0701 4200099000 853</v>
      </c>
    </row>
    <row r="60" spans="1:13" ht="76.5" x14ac:dyDescent="0.2">
      <c r="A60" s="181" t="s">
        <v>409</v>
      </c>
      <c r="B60" s="104" t="s">
        <v>1</v>
      </c>
      <c r="C60" s="181" t="s">
        <v>310</v>
      </c>
      <c r="D60" s="181" t="s">
        <v>311</v>
      </c>
    </row>
    <row r="61" spans="1:13" ht="25.5" x14ac:dyDescent="0.2">
      <c r="A61" s="182" t="s">
        <v>492</v>
      </c>
      <c r="B61" s="31">
        <v>1</v>
      </c>
      <c r="C61" s="116">
        <f>D61/5</f>
        <v>10677.119999999999</v>
      </c>
      <c r="D61" s="183">
        <v>53385.599999999999</v>
      </c>
    </row>
    <row r="62" spans="1:13" ht="25.5" x14ac:dyDescent="0.2">
      <c r="A62" s="182" t="s">
        <v>483</v>
      </c>
      <c r="B62" s="31">
        <f>B61+1</f>
        <v>2</v>
      </c>
      <c r="C62" s="116">
        <f t="shared" ref="C62:C71" si="16">D62/5</f>
        <v>8709</v>
      </c>
      <c r="D62" s="183">
        <v>43545</v>
      </c>
    </row>
    <row r="63" spans="1:13" ht="25.5" x14ac:dyDescent="0.2">
      <c r="A63" s="182" t="s">
        <v>484</v>
      </c>
      <c r="B63" s="31">
        <f t="shared" ref="B63:B71" si="17">B62+1</f>
        <v>3</v>
      </c>
      <c r="C63" s="116">
        <f t="shared" si="16"/>
        <v>21046.75</v>
      </c>
      <c r="D63" s="183">
        <f>50802.5+36287.5+18143.75</f>
        <v>105233.75</v>
      </c>
    </row>
    <row r="64" spans="1:13" x14ac:dyDescent="0.2">
      <c r="A64" s="182" t="s">
        <v>485</v>
      </c>
      <c r="B64" s="31">
        <f t="shared" si="17"/>
        <v>4</v>
      </c>
      <c r="C64" s="116">
        <f t="shared" si="16"/>
        <v>17418</v>
      </c>
      <c r="D64" s="183">
        <v>87090</v>
      </c>
    </row>
    <row r="65" spans="1:4" x14ac:dyDescent="0.2">
      <c r="A65" s="182" t="s">
        <v>486</v>
      </c>
      <c r="B65" s="31">
        <f t="shared" si="17"/>
        <v>5</v>
      </c>
      <c r="C65" s="116">
        <f t="shared" si="16"/>
        <v>29030</v>
      </c>
      <c r="D65" s="183">
        <v>145150</v>
      </c>
    </row>
    <row r="66" spans="1:4" x14ac:dyDescent="0.2">
      <c r="A66" s="184" t="s">
        <v>487</v>
      </c>
      <c r="B66" s="31">
        <f t="shared" si="17"/>
        <v>6</v>
      </c>
      <c r="C66" s="116">
        <f t="shared" si="16"/>
        <v>7465</v>
      </c>
      <c r="D66" s="183">
        <v>37325</v>
      </c>
    </row>
    <row r="67" spans="1:4" x14ac:dyDescent="0.2">
      <c r="A67" s="184" t="s">
        <v>488</v>
      </c>
      <c r="B67" s="31">
        <f t="shared" si="17"/>
        <v>7</v>
      </c>
      <c r="C67" s="116">
        <f t="shared" si="16"/>
        <v>8709</v>
      </c>
      <c r="D67" s="183">
        <v>43545</v>
      </c>
    </row>
    <row r="68" spans="1:4" ht="38.25" x14ac:dyDescent="0.2">
      <c r="A68" s="184" t="s">
        <v>489</v>
      </c>
      <c r="B68" s="31">
        <f t="shared" si="17"/>
        <v>8</v>
      </c>
      <c r="C68" s="116">
        <f t="shared" si="16"/>
        <v>7257.5</v>
      </c>
      <c r="D68" s="183">
        <v>36287.5</v>
      </c>
    </row>
    <row r="69" spans="1:4" ht="38.25" x14ac:dyDescent="0.2">
      <c r="A69" s="184" t="s">
        <v>490</v>
      </c>
      <c r="B69" s="31">
        <f t="shared" si="17"/>
        <v>9</v>
      </c>
      <c r="C69" s="116">
        <f t="shared" si="16"/>
        <v>5598.75</v>
      </c>
      <c r="D69" s="183">
        <v>27993.75</v>
      </c>
    </row>
    <row r="70" spans="1:4" x14ac:dyDescent="0.2">
      <c r="A70" s="184" t="s">
        <v>499</v>
      </c>
      <c r="B70" s="31">
        <f t="shared" si="17"/>
        <v>10</v>
      </c>
      <c r="C70" s="116">
        <f t="shared" si="16"/>
        <v>20016</v>
      </c>
      <c r="D70" s="183">
        <v>100080</v>
      </c>
    </row>
    <row r="71" spans="1:4" ht="38.25" x14ac:dyDescent="0.2">
      <c r="A71" s="184" t="s">
        <v>491</v>
      </c>
      <c r="B71" s="31">
        <f t="shared" si="17"/>
        <v>11</v>
      </c>
      <c r="C71" s="116">
        <f t="shared" si="16"/>
        <v>26692.799999999999</v>
      </c>
      <c r="D71" s="183">
        <v>133464</v>
      </c>
    </row>
    <row r="72" spans="1:4" x14ac:dyDescent="0.2">
      <c r="A72" s="111" t="s">
        <v>312</v>
      </c>
      <c r="B72" s="111">
        <v>9000</v>
      </c>
      <c r="C72" s="116"/>
      <c r="D72" s="56">
        <f>SUM(D61:D71)</f>
        <v>813099.6</v>
      </c>
    </row>
  </sheetData>
  <mergeCells count="36">
    <mergeCell ref="A38:A41"/>
    <mergeCell ref="B38:B41"/>
    <mergeCell ref="C38:C41"/>
    <mergeCell ref="D38:L38"/>
    <mergeCell ref="M38:M41"/>
    <mergeCell ref="D39:D41"/>
    <mergeCell ref="E39:L39"/>
    <mergeCell ref="E40:E41"/>
    <mergeCell ref="F40:F41"/>
    <mergeCell ref="G40:G41"/>
    <mergeCell ref="H40:H41"/>
    <mergeCell ref="A19:A22"/>
    <mergeCell ref="B19:B22"/>
    <mergeCell ref="C19:C22"/>
    <mergeCell ref="D19:M19"/>
    <mergeCell ref="N19:N22"/>
    <mergeCell ref="D20:D22"/>
    <mergeCell ref="E20:M20"/>
    <mergeCell ref="E21:E22"/>
    <mergeCell ref="F21:F22"/>
    <mergeCell ref="G21:G22"/>
    <mergeCell ref="H21:H22"/>
    <mergeCell ref="I21:I22"/>
    <mergeCell ref="J21:K21"/>
    <mergeCell ref="L21:M21"/>
    <mergeCell ref="A4:A7"/>
    <mergeCell ref="B4:B7"/>
    <mergeCell ref="C4:C7"/>
    <mergeCell ref="D4:K4"/>
    <mergeCell ref="L4:L7"/>
    <mergeCell ref="D5:D7"/>
    <mergeCell ref="E5:K5"/>
    <mergeCell ref="E6:E7"/>
    <mergeCell ref="F6:F7"/>
    <mergeCell ref="G6:G7"/>
    <mergeCell ref="J6:K6"/>
  </mergeCells>
  <pageMargins left="0.7" right="0.7" top="0.75" bottom="0.75" header="0.3" footer="0.3"/>
  <pageSetup paperSize="9" scale="71" orientation="landscape" r:id="rId1"/>
  <rowBreaks count="1" manualBreakCount="1">
    <brk id="35" max="13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</sheetPr>
  <dimension ref="A1:E16"/>
  <sheetViews>
    <sheetView view="pageBreakPreview" zoomScaleNormal="100" zoomScaleSheetLayoutView="100" workbookViewId="0">
      <selection activeCell="E14" sqref="E14"/>
    </sheetView>
  </sheetViews>
  <sheetFormatPr defaultColWidth="9.140625" defaultRowHeight="12.75" x14ac:dyDescent="0.2"/>
  <cols>
    <col min="1" max="1" width="43.140625" style="30" customWidth="1"/>
    <col min="2" max="2" width="9.140625" style="30"/>
    <col min="3" max="5" width="21.42578125" style="30" customWidth="1"/>
    <col min="6" max="16384" width="9.140625" style="30"/>
  </cols>
  <sheetData>
    <row r="1" spans="1:5" ht="29.25" customHeight="1" x14ac:dyDescent="0.2">
      <c r="A1" s="246" t="s">
        <v>204</v>
      </c>
      <c r="B1" s="246"/>
      <c r="C1" s="246"/>
      <c r="D1" s="246"/>
      <c r="E1" s="246"/>
    </row>
    <row r="2" spans="1:5" x14ac:dyDescent="0.2">
      <c r="A2" s="75"/>
      <c r="B2" s="75"/>
      <c r="C2" s="75"/>
      <c r="D2" s="75"/>
      <c r="E2" s="75"/>
    </row>
    <row r="3" spans="1:5" ht="29.25" customHeight="1" x14ac:dyDescent="0.2">
      <c r="A3" s="246" t="s">
        <v>205</v>
      </c>
      <c r="B3" s="246"/>
      <c r="C3" s="246"/>
      <c r="D3" s="246"/>
      <c r="E3" s="246"/>
    </row>
    <row r="5" spans="1:5" x14ac:dyDescent="0.2">
      <c r="A5" s="237" t="s">
        <v>0</v>
      </c>
      <c r="B5" s="237" t="s">
        <v>1</v>
      </c>
      <c r="C5" s="237" t="s">
        <v>116</v>
      </c>
      <c r="D5" s="237"/>
      <c r="E5" s="237"/>
    </row>
    <row r="6" spans="1:5" x14ac:dyDescent="0.2">
      <c r="A6" s="237"/>
      <c r="B6" s="237"/>
      <c r="C6" s="71" t="s">
        <v>353</v>
      </c>
      <c r="D6" s="71" t="s">
        <v>455</v>
      </c>
      <c r="E6" s="71" t="s">
        <v>508</v>
      </c>
    </row>
    <row r="7" spans="1:5" ht="25.5" x14ac:dyDescent="0.2">
      <c r="A7" s="237"/>
      <c r="B7" s="237"/>
      <c r="C7" s="71" t="s">
        <v>79</v>
      </c>
      <c r="D7" s="71" t="s">
        <v>80</v>
      </c>
      <c r="E7" s="71" t="s">
        <v>81</v>
      </c>
    </row>
    <row r="8" spans="1:5" x14ac:dyDescent="0.2">
      <c r="A8" s="71">
        <v>1</v>
      </c>
      <c r="B8" s="71">
        <v>2</v>
      </c>
      <c r="C8" s="71">
        <v>3</v>
      </c>
      <c r="D8" s="71">
        <v>4</v>
      </c>
      <c r="E8" s="71">
        <v>5</v>
      </c>
    </row>
    <row r="9" spans="1:5" ht="25.5" x14ac:dyDescent="0.2">
      <c r="A9" s="31" t="s">
        <v>198</v>
      </c>
      <c r="B9" s="71">
        <v>100</v>
      </c>
      <c r="C9" s="70"/>
      <c r="D9" s="70"/>
      <c r="E9" s="70"/>
    </row>
    <row r="10" spans="1:5" ht="38.25" x14ac:dyDescent="0.2">
      <c r="A10" s="31" t="s">
        <v>199</v>
      </c>
      <c r="B10" s="71">
        <v>200</v>
      </c>
      <c r="C10" s="70"/>
      <c r="D10" s="70"/>
      <c r="E10" s="70"/>
    </row>
    <row r="11" spans="1:5" ht="25.5" x14ac:dyDescent="0.2">
      <c r="A11" s="31" t="s">
        <v>200</v>
      </c>
      <c r="B11" s="71">
        <v>300</v>
      </c>
      <c r="C11" s="70">
        <f>C12+C13</f>
        <v>6947989.6000000006</v>
      </c>
      <c r="D11" s="70">
        <f>D12+D13</f>
        <v>6947989.6000000006</v>
      </c>
      <c r="E11" s="70">
        <f>E12+E13</f>
        <v>6905696.6000000006</v>
      </c>
    </row>
    <row r="12" spans="1:5" x14ac:dyDescent="0.2">
      <c r="A12" s="76" t="s">
        <v>308</v>
      </c>
      <c r="B12" s="71"/>
      <c r="C12" s="70">
        <f>'3.7.2(213)'!F22+'3.7.2(213)'!F44+'3.7.2(213)'!F66</f>
        <v>6702380.2000000002</v>
      </c>
      <c r="D12" s="70">
        <f>'3.7.2(213)'!G22+'3.7.2(213)'!G44+'3.7.2(213)'!G66</f>
        <v>6702380.2000000002</v>
      </c>
      <c r="E12" s="70">
        <f>'3.7.2(213)'!H22+'3.7.2(213)'!H44+'3.7.2(213)'!H66</f>
        <v>6660087.2000000002</v>
      </c>
    </row>
    <row r="13" spans="1:5" x14ac:dyDescent="0.2">
      <c r="A13" s="76" t="s">
        <v>309</v>
      </c>
      <c r="B13" s="71"/>
      <c r="C13" s="70">
        <f>'3.7.2(213)'!F88</f>
        <v>245609.4</v>
      </c>
      <c r="D13" s="70">
        <f>'3.7.2(213)'!G88</f>
        <v>245609.4</v>
      </c>
      <c r="E13" s="70">
        <f>'3.7.2(213)'!H88</f>
        <v>245609.4</v>
      </c>
    </row>
    <row r="14" spans="1:5" ht="25.5" x14ac:dyDescent="0.2">
      <c r="A14" s="31" t="s">
        <v>201</v>
      </c>
      <c r="B14" s="71">
        <v>400</v>
      </c>
      <c r="C14" s="70"/>
      <c r="D14" s="70"/>
      <c r="E14" s="70"/>
    </row>
    <row r="15" spans="1:5" ht="38.25" x14ac:dyDescent="0.2">
      <c r="A15" s="31" t="s">
        <v>202</v>
      </c>
      <c r="B15" s="71">
        <v>500</v>
      </c>
      <c r="C15" s="70"/>
      <c r="D15" s="70"/>
      <c r="E15" s="70"/>
    </row>
    <row r="16" spans="1:5" ht="38.25" x14ac:dyDescent="0.2">
      <c r="A16" s="31" t="s">
        <v>203</v>
      </c>
      <c r="B16" s="71">
        <v>600</v>
      </c>
      <c r="C16" s="70">
        <f>C9-C10+C11-C14+C15</f>
        <v>6947989.6000000006</v>
      </c>
      <c r="D16" s="70">
        <f>D9-D10+D11-D14+D15</f>
        <v>6947989.6000000006</v>
      </c>
      <c r="E16" s="70">
        <f>E9-E10+E11-E14+E15</f>
        <v>6905696.6000000006</v>
      </c>
    </row>
  </sheetData>
  <mergeCells count="5">
    <mergeCell ref="A5:A7"/>
    <mergeCell ref="B5:B7"/>
    <mergeCell ref="C5:E5"/>
    <mergeCell ref="A1:E1"/>
    <mergeCell ref="A3:E3"/>
  </mergeCells>
  <pageMargins left="0.7" right="0.7" top="0.75" bottom="0.75" header="0.3" footer="0.3"/>
  <pageSetup paperSize="9" scale="75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  <pageSetUpPr fitToPage="1"/>
  </sheetPr>
  <dimension ref="A1:J89"/>
  <sheetViews>
    <sheetView view="pageBreakPreview" topLeftCell="A73" zoomScaleNormal="100" zoomScaleSheetLayoutView="100" workbookViewId="0">
      <selection activeCell="A73" sqref="A1:XFD1048576"/>
    </sheetView>
  </sheetViews>
  <sheetFormatPr defaultColWidth="9.140625" defaultRowHeight="12.75" x14ac:dyDescent="0.2"/>
  <cols>
    <col min="1" max="1" width="49.28515625" style="30" customWidth="1"/>
    <col min="2" max="2" width="9.140625" style="30"/>
    <col min="3" max="8" width="14.140625" style="30" customWidth="1"/>
    <col min="9" max="9" width="10.7109375" style="30" customWidth="1"/>
    <col min="10" max="10" width="12.42578125" style="30" customWidth="1"/>
    <col min="11" max="16384" width="9.140625" style="30"/>
  </cols>
  <sheetData>
    <row r="1" spans="1:8" x14ac:dyDescent="0.2">
      <c r="A1" s="30" t="s">
        <v>220</v>
      </c>
    </row>
    <row r="2" spans="1:8" x14ac:dyDescent="0.2">
      <c r="A2" s="30" t="str">
        <f>'3.13.1'!D9</f>
        <v>0701 0210080610 621</v>
      </c>
    </row>
    <row r="3" spans="1:8" x14ac:dyDescent="0.2">
      <c r="A3" s="237" t="s">
        <v>206</v>
      </c>
      <c r="B3" s="237" t="s">
        <v>1</v>
      </c>
      <c r="C3" s="237" t="s">
        <v>207</v>
      </c>
      <c r="D3" s="237"/>
      <c r="E3" s="237"/>
      <c r="F3" s="237" t="s">
        <v>208</v>
      </c>
      <c r="G3" s="237"/>
      <c r="H3" s="237"/>
    </row>
    <row r="4" spans="1:8" x14ac:dyDescent="0.2">
      <c r="A4" s="237"/>
      <c r="B4" s="237"/>
      <c r="C4" s="104" t="s">
        <v>353</v>
      </c>
      <c r="D4" s="104" t="s">
        <v>455</v>
      </c>
      <c r="E4" s="104" t="s">
        <v>508</v>
      </c>
      <c r="F4" s="104" t="s">
        <v>353</v>
      </c>
      <c r="G4" s="104" t="s">
        <v>455</v>
      </c>
      <c r="H4" s="104" t="s">
        <v>508</v>
      </c>
    </row>
    <row r="5" spans="1:8" ht="38.25" x14ac:dyDescent="0.2">
      <c r="A5" s="237"/>
      <c r="B5" s="237"/>
      <c r="C5" s="104" t="s">
        <v>79</v>
      </c>
      <c r="D5" s="104" t="s">
        <v>80</v>
      </c>
      <c r="E5" s="104" t="s">
        <v>81</v>
      </c>
      <c r="F5" s="104" t="s">
        <v>79</v>
      </c>
      <c r="G5" s="104" t="s">
        <v>80</v>
      </c>
      <c r="H5" s="104" t="s">
        <v>81</v>
      </c>
    </row>
    <row r="6" spans="1:8" x14ac:dyDescent="0.2">
      <c r="A6" s="104">
        <v>1</v>
      </c>
      <c r="B6" s="104">
        <v>2</v>
      </c>
      <c r="C6" s="104">
        <v>3</v>
      </c>
      <c r="D6" s="104">
        <v>4</v>
      </c>
      <c r="E6" s="104">
        <v>5</v>
      </c>
      <c r="F6" s="104">
        <v>6</v>
      </c>
      <c r="G6" s="104">
        <v>7</v>
      </c>
      <c r="H6" s="104">
        <v>8</v>
      </c>
    </row>
    <row r="7" spans="1:8" ht="25.5" x14ac:dyDescent="0.2">
      <c r="A7" s="31" t="s">
        <v>209</v>
      </c>
      <c r="B7" s="104">
        <v>100</v>
      </c>
      <c r="C7" s="103"/>
      <c r="D7" s="103"/>
      <c r="E7" s="103"/>
      <c r="F7" s="32">
        <f>F8+F10+F11</f>
        <v>475244</v>
      </c>
      <c r="G7" s="32">
        <f>G8+G10+G11</f>
        <v>475244</v>
      </c>
      <c r="H7" s="32">
        <f>H8+H10+H11</f>
        <v>444434.76</v>
      </c>
    </row>
    <row r="8" spans="1:8" x14ac:dyDescent="0.2">
      <c r="A8" s="31" t="s">
        <v>15</v>
      </c>
      <c r="B8" s="237">
        <v>110</v>
      </c>
      <c r="C8" s="234">
        <f>'3.6.3(211)'!L16</f>
        <v>2160200</v>
      </c>
      <c r="D8" s="234">
        <f>'3.6.4'!L16</f>
        <v>2160200</v>
      </c>
      <c r="E8" s="234">
        <f>'3.6.5'!L16</f>
        <v>2020158</v>
      </c>
      <c r="F8" s="234">
        <f>C8/100*22</f>
        <v>475244</v>
      </c>
      <c r="G8" s="234">
        <f>D8/100*22</f>
        <v>475244</v>
      </c>
      <c r="H8" s="234">
        <f>E8/100*22</f>
        <v>444434.76</v>
      </c>
    </row>
    <row r="9" spans="1:8" x14ac:dyDescent="0.2">
      <c r="A9" s="31" t="s">
        <v>210</v>
      </c>
      <c r="B9" s="237"/>
      <c r="C9" s="234"/>
      <c r="D9" s="234"/>
      <c r="E9" s="234"/>
      <c r="F9" s="234"/>
      <c r="G9" s="234"/>
      <c r="H9" s="234"/>
    </row>
    <row r="10" spans="1:8" x14ac:dyDescent="0.2">
      <c r="A10" s="31" t="s">
        <v>211</v>
      </c>
      <c r="B10" s="104">
        <v>120</v>
      </c>
      <c r="C10" s="103"/>
      <c r="D10" s="103"/>
      <c r="E10" s="103"/>
      <c r="F10" s="103"/>
      <c r="G10" s="103"/>
      <c r="H10" s="103"/>
    </row>
    <row r="11" spans="1:8" ht="38.25" x14ac:dyDescent="0.2">
      <c r="A11" s="31" t="s">
        <v>212</v>
      </c>
      <c r="B11" s="104">
        <v>130</v>
      </c>
      <c r="C11" s="103"/>
      <c r="D11" s="103"/>
      <c r="E11" s="103"/>
      <c r="F11" s="103"/>
      <c r="G11" s="103"/>
      <c r="H11" s="103"/>
    </row>
    <row r="12" spans="1:8" ht="25.5" x14ac:dyDescent="0.2">
      <c r="A12" s="31" t="s">
        <v>213</v>
      </c>
      <c r="B12" s="104">
        <v>200</v>
      </c>
      <c r="C12" s="103"/>
      <c r="D12" s="103"/>
      <c r="E12" s="103"/>
      <c r="F12" s="32">
        <f>F13+F16</f>
        <v>66966.2</v>
      </c>
      <c r="G12" s="32">
        <f>G13+G16</f>
        <v>66966.2</v>
      </c>
      <c r="H12" s="32">
        <f>H13+H16</f>
        <v>62624.898000000001</v>
      </c>
    </row>
    <row r="13" spans="1:8" x14ac:dyDescent="0.2">
      <c r="A13" s="31" t="s">
        <v>15</v>
      </c>
      <c r="B13" s="237">
        <v>210</v>
      </c>
      <c r="C13" s="234">
        <f>C8</f>
        <v>2160200</v>
      </c>
      <c r="D13" s="234">
        <f>D8</f>
        <v>2160200</v>
      </c>
      <c r="E13" s="234">
        <f>E8</f>
        <v>2020158</v>
      </c>
      <c r="F13" s="234">
        <f>C13/100*2.9</f>
        <v>62645.799999999996</v>
      </c>
      <c r="G13" s="234">
        <f>D13/100*2.9</f>
        <v>62645.799999999996</v>
      </c>
      <c r="H13" s="234">
        <f>E13/100*2.9</f>
        <v>58584.582000000002</v>
      </c>
    </row>
    <row r="14" spans="1:8" ht="38.25" x14ac:dyDescent="0.2">
      <c r="A14" s="31" t="s">
        <v>214</v>
      </c>
      <c r="B14" s="237"/>
      <c r="C14" s="234"/>
      <c r="D14" s="234"/>
      <c r="E14" s="234"/>
      <c r="F14" s="234"/>
      <c r="G14" s="234"/>
      <c r="H14" s="234"/>
    </row>
    <row r="15" spans="1:8" ht="25.5" x14ac:dyDescent="0.2">
      <c r="A15" s="31" t="s">
        <v>215</v>
      </c>
      <c r="B15" s="104">
        <v>220</v>
      </c>
      <c r="C15" s="103"/>
      <c r="D15" s="103"/>
      <c r="E15" s="103"/>
      <c r="F15" s="103"/>
      <c r="G15" s="103"/>
      <c r="H15" s="103"/>
    </row>
    <row r="16" spans="1:8" ht="38.25" x14ac:dyDescent="0.2">
      <c r="A16" s="31" t="s">
        <v>216</v>
      </c>
      <c r="B16" s="104">
        <v>230</v>
      </c>
      <c r="C16" s="103">
        <f>C8</f>
        <v>2160200</v>
      </c>
      <c r="D16" s="103">
        <f>D8</f>
        <v>2160200</v>
      </c>
      <c r="E16" s="103">
        <f>E8</f>
        <v>2020158</v>
      </c>
      <c r="F16" s="103">
        <f>C16/100*0.2</f>
        <v>4320.4000000000005</v>
      </c>
      <c r="G16" s="103">
        <f>D16/100*0.2</f>
        <v>4320.4000000000005</v>
      </c>
      <c r="H16" s="103">
        <f>E16/100*0.2</f>
        <v>4040.3160000000007</v>
      </c>
    </row>
    <row r="17" spans="1:10" ht="38.25" x14ac:dyDescent="0.2">
      <c r="A17" s="169" t="s">
        <v>217</v>
      </c>
      <c r="B17" s="104">
        <v>240</v>
      </c>
      <c r="C17" s="103"/>
      <c r="D17" s="103"/>
      <c r="E17" s="103"/>
      <c r="F17" s="103"/>
      <c r="G17" s="103"/>
      <c r="H17" s="103"/>
    </row>
    <row r="18" spans="1:10" ht="38.25" x14ac:dyDescent="0.2">
      <c r="A18" s="169" t="s">
        <v>217</v>
      </c>
      <c r="B18" s="31"/>
      <c r="C18" s="103"/>
      <c r="D18" s="103"/>
      <c r="E18" s="103"/>
      <c r="F18" s="103"/>
      <c r="G18" s="103"/>
      <c r="H18" s="103"/>
    </row>
    <row r="19" spans="1:10" ht="25.5" x14ac:dyDescent="0.2">
      <c r="A19" s="31" t="s">
        <v>218</v>
      </c>
      <c r="B19" s="104">
        <v>300</v>
      </c>
      <c r="C19" s="103">
        <f>C8</f>
        <v>2160200</v>
      </c>
      <c r="D19" s="103">
        <f>D8</f>
        <v>2160200</v>
      </c>
      <c r="E19" s="103">
        <f>E8</f>
        <v>2020158</v>
      </c>
      <c r="F19" s="32">
        <f>F20</f>
        <v>110170.2</v>
      </c>
      <c r="G19" s="32">
        <f>G20</f>
        <v>110189.8</v>
      </c>
      <c r="H19" s="32">
        <f>H20</f>
        <v>103047.34199999999</v>
      </c>
    </row>
    <row r="20" spans="1:10" x14ac:dyDescent="0.2">
      <c r="A20" s="31" t="s">
        <v>15</v>
      </c>
      <c r="B20" s="237">
        <v>310</v>
      </c>
      <c r="C20" s="234">
        <f>C8</f>
        <v>2160200</v>
      </c>
      <c r="D20" s="234">
        <f>D8</f>
        <v>2160200</v>
      </c>
      <c r="E20" s="234">
        <f>E8</f>
        <v>2020158</v>
      </c>
      <c r="F20" s="234">
        <f>C20/100*5.1</f>
        <v>110170.2</v>
      </c>
      <c r="G20" s="234">
        <f>G22-G7-G12</f>
        <v>110189.8</v>
      </c>
      <c r="H20" s="234">
        <f>H22-H7-H12</f>
        <v>103047.34199999999</v>
      </c>
    </row>
    <row r="21" spans="1:10" ht="25.5" x14ac:dyDescent="0.2">
      <c r="A21" s="31" t="s">
        <v>219</v>
      </c>
      <c r="B21" s="237"/>
      <c r="C21" s="234"/>
      <c r="D21" s="234"/>
      <c r="E21" s="234"/>
      <c r="F21" s="234"/>
      <c r="G21" s="234"/>
      <c r="H21" s="234"/>
      <c r="I21" s="111" t="s">
        <v>434</v>
      </c>
      <c r="J21" s="111" t="s">
        <v>435</v>
      </c>
    </row>
    <row r="22" spans="1:10" x14ac:dyDescent="0.2">
      <c r="A22" s="31" t="s">
        <v>136</v>
      </c>
      <c r="B22" s="104">
        <v>9000</v>
      </c>
      <c r="C22" s="104" t="s">
        <v>12</v>
      </c>
      <c r="D22" s="104" t="s">
        <v>12</v>
      </c>
      <c r="E22" s="104" t="s">
        <v>12</v>
      </c>
      <c r="F22" s="32">
        <v>652400</v>
      </c>
      <c r="G22" s="32">
        <v>652400</v>
      </c>
      <c r="H22" s="32">
        <f>652400-42293</f>
        <v>610107</v>
      </c>
      <c r="I22" s="111"/>
      <c r="J22" s="170">
        <f>F22-I22</f>
        <v>652400</v>
      </c>
    </row>
    <row r="24" spans="1:10" x14ac:dyDescent="0.2">
      <c r="A24" s="30" t="str">
        <f>'3.13.1'!I9</f>
        <v>0701 0210075880 621</v>
      </c>
    </row>
    <row r="25" spans="1:10" x14ac:dyDescent="0.2">
      <c r="A25" s="237" t="s">
        <v>206</v>
      </c>
      <c r="B25" s="237" t="s">
        <v>1</v>
      </c>
      <c r="C25" s="237" t="s">
        <v>207</v>
      </c>
      <c r="D25" s="237"/>
      <c r="E25" s="237"/>
      <c r="F25" s="237" t="s">
        <v>208</v>
      </c>
      <c r="G25" s="237"/>
      <c r="H25" s="237"/>
    </row>
    <row r="26" spans="1:10" x14ac:dyDescent="0.2">
      <c r="A26" s="237"/>
      <c r="B26" s="237"/>
      <c r="C26" s="104" t="s">
        <v>353</v>
      </c>
      <c r="D26" s="104" t="s">
        <v>455</v>
      </c>
      <c r="E26" s="104" t="s">
        <v>508</v>
      </c>
      <c r="F26" s="104" t="s">
        <v>353</v>
      </c>
      <c r="G26" s="104" t="s">
        <v>455</v>
      </c>
      <c r="H26" s="104" t="s">
        <v>508</v>
      </c>
    </row>
    <row r="27" spans="1:10" ht="38.25" x14ac:dyDescent="0.2">
      <c r="A27" s="237"/>
      <c r="B27" s="237"/>
      <c r="C27" s="104" t="s">
        <v>79</v>
      </c>
      <c r="D27" s="104" t="s">
        <v>80</v>
      </c>
      <c r="E27" s="104" t="s">
        <v>81</v>
      </c>
      <c r="F27" s="104" t="s">
        <v>79</v>
      </c>
      <c r="G27" s="104" t="s">
        <v>80</v>
      </c>
      <c r="H27" s="104" t="s">
        <v>81</v>
      </c>
    </row>
    <row r="28" spans="1:10" x14ac:dyDescent="0.2">
      <c r="A28" s="104">
        <v>1</v>
      </c>
      <c r="B28" s="104">
        <v>2</v>
      </c>
      <c r="C28" s="104">
        <v>3</v>
      </c>
      <c r="D28" s="104">
        <v>4</v>
      </c>
      <c r="E28" s="104">
        <v>5</v>
      </c>
      <c r="F28" s="104">
        <v>6</v>
      </c>
      <c r="G28" s="104">
        <v>7</v>
      </c>
      <c r="H28" s="104">
        <v>8</v>
      </c>
    </row>
    <row r="29" spans="1:10" ht="25.5" x14ac:dyDescent="0.2">
      <c r="A29" s="31" t="s">
        <v>209</v>
      </c>
      <c r="B29" s="104">
        <v>100</v>
      </c>
      <c r="C29" s="103"/>
      <c r="D29" s="103"/>
      <c r="E29" s="103"/>
      <c r="F29" s="32">
        <f>F30+F32+F33</f>
        <v>3128563.9000000004</v>
      </c>
      <c r="G29" s="32">
        <f>G30+G32+G33</f>
        <v>3128563.9000000004</v>
      </c>
      <c r="H29" s="32">
        <f>H30+H32+H33</f>
        <v>763862.57728000009</v>
      </c>
    </row>
    <row r="30" spans="1:10" x14ac:dyDescent="0.2">
      <c r="A30" s="31" t="s">
        <v>15</v>
      </c>
      <c r="B30" s="237">
        <v>110</v>
      </c>
      <c r="C30" s="234">
        <f>'3.6.3(211)'!N35</f>
        <v>14220745</v>
      </c>
      <c r="D30" s="234">
        <f>'3.6.4'!N35</f>
        <v>14220745</v>
      </c>
      <c r="E30" s="234">
        <f>'3.6.5'!N34</f>
        <v>3472102.6240000008</v>
      </c>
      <c r="F30" s="234">
        <f>C30/100*22</f>
        <v>3128563.9000000004</v>
      </c>
      <c r="G30" s="234">
        <f>D30/100*22</f>
        <v>3128563.9000000004</v>
      </c>
      <c r="H30" s="234">
        <f>E30/100*22</f>
        <v>763862.57728000009</v>
      </c>
    </row>
    <row r="31" spans="1:10" x14ac:dyDescent="0.2">
      <c r="A31" s="31" t="s">
        <v>210</v>
      </c>
      <c r="B31" s="237"/>
      <c r="C31" s="234"/>
      <c r="D31" s="234"/>
      <c r="E31" s="234"/>
      <c r="F31" s="234"/>
      <c r="G31" s="234"/>
      <c r="H31" s="234"/>
    </row>
    <row r="32" spans="1:10" x14ac:dyDescent="0.2">
      <c r="A32" s="31" t="s">
        <v>211</v>
      </c>
      <c r="B32" s="104">
        <v>120</v>
      </c>
      <c r="C32" s="103"/>
      <c r="D32" s="103"/>
      <c r="E32" s="103"/>
      <c r="F32" s="103"/>
      <c r="G32" s="103"/>
      <c r="H32" s="103"/>
    </row>
    <row r="33" spans="1:10" ht="38.25" x14ac:dyDescent="0.2">
      <c r="A33" s="31" t="s">
        <v>212</v>
      </c>
      <c r="B33" s="104">
        <v>130</v>
      </c>
      <c r="C33" s="103"/>
      <c r="D33" s="103"/>
      <c r="E33" s="103"/>
      <c r="F33" s="103"/>
      <c r="G33" s="103"/>
      <c r="H33" s="103"/>
    </row>
    <row r="34" spans="1:10" ht="25.5" x14ac:dyDescent="0.2">
      <c r="A34" s="31" t="s">
        <v>213</v>
      </c>
      <c r="B34" s="104">
        <v>200</v>
      </c>
      <c r="C34" s="103"/>
      <c r="D34" s="103"/>
      <c r="E34" s="103"/>
      <c r="F34" s="32">
        <f>F35+F38</f>
        <v>440843.09500000003</v>
      </c>
      <c r="G34" s="32">
        <f>G35+G38</f>
        <v>440843.09500000003</v>
      </c>
      <c r="H34" s="32">
        <f>H35+H38</f>
        <v>107635.18134400001</v>
      </c>
    </row>
    <row r="35" spans="1:10" x14ac:dyDescent="0.2">
      <c r="A35" s="31" t="s">
        <v>15</v>
      </c>
      <c r="B35" s="237">
        <v>210</v>
      </c>
      <c r="C35" s="234">
        <f>C30</f>
        <v>14220745</v>
      </c>
      <c r="D35" s="234">
        <f>D30</f>
        <v>14220745</v>
      </c>
      <c r="E35" s="234">
        <f>E30</f>
        <v>3472102.6240000008</v>
      </c>
      <c r="F35" s="234">
        <f>C35/100*2.9</f>
        <v>412401.60500000004</v>
      </c>
      <c r="G35" s="234">
        <f>D35/100*2.9</f>
        <v>412401.60500000004</v>
      </c>
      <c r="H35" s="234">
        <f>E35/100*2.9</f>
        <v>100690.97609600001</v>
      </c>
    </row>
    <row r="36" spans="1:10" ht="38.25" x14ac:dyDescent="0.2">
      <c r="A36" s="31" t="s">
        <v>214</v>
      </c>
      <c r="B36" s="237"/>
      <c r="C36" s="234"/>
      <c r="D36" s="234"/>
      <c r="E36" s="234"/>
      <c r="F36" s="234"/>
      <c r="G36" s="234"/>
      <c r="H36" s="234"/>
    </row>
    <row r="37" spans="1:10" ht="25.5" x14ac:dyDescent="0.2">
      <c r="A37" s="31" t="s">
        <v>215</v>
      </c>
      <c r="B37" s="104">
        <v>220</v>
      </c>
      <c r="C37" s="103"/>
      <c r="D37" s="103"/>
      <c r="E37" s="103"/>
      <c r="F37" s="103"/>
      <c r="G37" s="103"/>
      <c r="H37" s="103"/>
    </row>
    <row r="38" spans="1:10" ht="38.25" x14ac:dyDescent="0.2">
      <c r="A38" s="31" t="s">
        <v>216</v>
      </c>
      <c r="B38" s="104">
        <v>230</v>
      </c>
      <c r="C38" s="103">
        <f>C30</f>
        <v>14220745</v>
      </c>
      <c r="D38" s="103">
        <f>D30</f>
        <v>14220745</v>
      </c>
      <c r="E38" s="103">
        <f>E30</f>
        <v>3472102.6240000008</v>
      </c>
      <c r="F38" s="103">
        <f>C38/100*0.2</f>
        <v>28441.490000000005</v>
      </c>
      <c r="G38" s="103">
        <f>D38/100*0.2</f>
        <v>28441.490000000005</v>
      </c>
      <c r="H38" s="103">
        <f>E38/100*0.2</f>
        <v>6944.205248000002</v>
      </c>
    </row>
    <row r="39" spans="1:10" ht="38.25" x14ac:dyDescent="0.2">
      <c r="A39" s="169" t="s">
        <v>217</v>
      </c>
      <c r="B39" s="104">
        <v>240</v>
      </c>
      <c r="C39" s="103"/>
      <c r="D39" s="103"/>
      <c r="E39" s="103"/>
      <c r="F39" s="103"/>
      <c r="G39" s="103"/>
      <c r="H39" s="103"/>
    </row>
    <row r="40" spans="1:10" ht="38.25" x14ac:dyDescent="0.2">
      <c r="A40" s="169" t="s">
        <v>217</v>
      </c>
      <c r="B40" s="31"/>
      <c r="C40" s="103"/>
      <c r="D40" s="103"/>
      <c r="E40" s="103"/>
      <c r="F40" s="103"/>
      <c r="G40" s="103"/>
      <c r="H40" s="103"/>
    </row>
    <row r="41" spans="1:10" ht="25.5" x14ac:dyDescent="0.2">
      <c r="A41" s="31" t="s">
        <v>218</v>
      </c>
      <c r="B41" s="104">
        <v>300</v>
      </c>
      <c r="C41" s="103">
        <f>C30</f>
        <v>14220745</v>
      </c>
      <c r="D41" s="103">
        <f>D30</f>
        <v>14220745</v>
      </c>
      <c r="E41" s="103">
        <f>E30</f>
        <v>3472102.6240000008</v>
      </c>
      <c r="F41" s="32">
        <f>F42</f>
        <v>725257.995</v>
      </c>
      <c r="G41" s="32">
        <f>G42</f>
        <v>725258.00499999966</v>
      </c>
      <c r="H41" s="32">
        <f>H42</f>
        <v>3423167.241376</v>
      </c>
    </row>
    <row r="42" spans="1:10" x14ac:dyDescent="0.2">
      <c r="A42" s="31" t="s">
        <v>15</v>
      </c>
      <c r="B42" s="237">
        <v>310</v>
      </c>
      <c r="C42" s="234">
        <f>C30</f>
        <v>14220745</v>
      </c>
      <c r="D42" s="234">
        <f>D30</f>
        <v>14220745</v>
      </c>
      <c r="E42" s="234">
        <f>E30</f>
        <v>3472102.6240000008</v>
      </c>
      <c r="F42" s="234">
        <f>C42/100*5.1</f>
        <v>725257.995</v>
      </c>
      <c r="G42" s="234">
        <f>G44-G29-G34</f>
        <v>725258.00499999966</v>
      </c>
      <c r="H42" s="234">
        <f>H44-H29-H34</f>
        <v>3423167.241376</v>
      </c>
    </row>
    <row r="43" spans="1:10" ht="25.5" x14ac:dyDescent="0.2">
      <c r="A43" s="31" t="s">
        <v>219</v>
      </c>
      <c r="B43" s="237"/>
      <c r="C43" s="234"/>
      <c r="D43" s="234"/>
      <c r="E43" s="234"/>
      <c r="F43" s="234"/>
      <c r="G43" s="234"/>
      <c r="H43" s="234"/>
      <c r="I43" s="111" t="s">
        <v>434</v>
      </c>
      <c r="J43" s="111" t="s">
        <v>435</v>
      </c>
    </row>
    <row r="44" spans="1:10" x14ac:dyDescent="0.2">
      <c r="A44" s="31" t="s">
        <v>136</v>
      </c>
      <c r="B44" s="104">
        <v>9000</v>
      </c>
      <c r="C44" s="104" t="s">
        <v>12</v>
      </c>
      <c r="D44" s="104" t="s">
        <v>12</v>
      </c>
      <c r="E44" s="104" t="s">
        <v>12</v>
      </c>
      <c r="F44" s="32">
        <v>4294665</v>
      </c>
      <c r="G44" s="32">
        <v>4294665</v>
      </c>
      <c r="H44" s="32">
        <v>4294665</v>
      </c>
      <c r="I44" s="111"/>
      <c r="J44" s="170">
        <f>F44-I44</f>
        <v>4294665</v>
      </c>
    </row>
    <row r="46" spans="1:10" x14ac:dyDescent="0.2">
      <c r="A46" s="30" t="str">
        <f>'3.13.1'!J9</f>
        <v>0701 0210074080 621</v>
      </c>
    </row>
    <row r="47" spans="1:10" x14ac:dyDescent="0.2">
      <c r="A47" s="237" t="s">
        <v>206</v>
      </c>
      <c r="B47" s="237" t="s">
        <v>1</v>
      </c>
      <c r="C47" s="237" t="s">
        <v>207</v>
      </c>
      <c r="D47" s="237"/>
      <c r="E47" s="237"/>
      <c r="F47" s="237" t="s">
        <v>208</v>
      </c>
      <c r="G47" s="237"/>
      <c r="H47" s="237"/>
    </row>
    <row r="48" spans="1:10" x14ac:dyDescent="0.2">
      <c r="A48" s="237"/>
      <c r="B48" s="237"/>
      <c r="C48" s="104" t="s">
        <v>353</v>
      </c>
      <c r="D48" s="104" t="s">
        <v>455</v>
      </c>
      <c r="E48" s="104" t="s">
        <v>508</v>
      </c>
      <c r="F48" s="104" t="s">
        <v>353</v>
      </c>
      <c r="G48" s="104" t="s">
        <v>455</v>
      </c>
      <c r="H48" s="104" t="s">
        <v>508</v>
      </c>
    </row>
    <row r="49" spans="1:8" ht="38.25" x14ac:dyDescent="0.2">
      <c r="A49" s="237"/>
      <c r="B49" s="237"/>
      <c r="C49" s="104" t="s">
        <v>79</v>
      </c>
      <c r="D49" s="104" t="s">
        <v>80</v>
      </c>
      <c r="E49" s="104" t="s">
        <v>81</v>
      </c>
      <c r="F49" s="104" t="s">
        <v>79</v>
      </c>
      <c r="G49" s="104" t="s">
        <v>80</v>
      </c>
      <c r="H49" s="104" t="s">
        <v>81</v>
      </c>
    </row>
    <row r="50" spans="1:8" x14ac:dyDescent="0.2">
      <c r="A50" s="104">
        <v>1</v>
      </c>
      <c r="B50" s="104">
        <v>2</v>
      </c>
      <c r="C50" s="104">
        <v>3</v>
      </c>
      <c r="D50" s="104">
        <v>4</v>
      </c>
      <c r="E50" s="104">
        <v>5</v>
      </c>
      <c r="F50" s="104">
        <v>6</v>
      </c>
      <c r="G50" s="104">
        <v>7</v>
      </c>
      <c r="H50" s="104">
        <v>8</v>
      </c>
    </row>
    <row r="51" spans="1:8" ht="25.5" x14ac:dyDescent="0.2">
      <c r="A51" s="31" t="s">
        <v>209</v>
      </c>
      <c r="B51" s="104">
        <v>100</v>
      </c>
      <c r="C51" s="103"/>
      <c r="D51" s="103"/>
      <c r="E51" s="103"/>
      <c r="F51" s="32">
        <f>F52+F54+F55</f>
        <v>1278705.736</v>
      </c>
      <c r="G51" s="32">
        <f>G52+G54+G55</f>
        <v>1278705.736</v>
      </c>
      <c r="H51" s="32">
        <f>H52+H54+H55</f>
        <v>1278705.736</v>
      </c>
    </row>
    <row r="52" spans="1:8" x14ac:dyDescent="0.2">
      <c r="A52" s="31" t="s">
        <v>15</v>
      </c>
      <c r="B52" s="237">
        <v>110</v>
      </c>
      <c r="C52" s="234">
        <f>'3.6.3(211)'!M64</f>
        <v>5812298.7999999998</v>
      </c>
      <c r="D52" s="234">
        <f>'3.6.4'!M56</f>
        <v>5812298.7999999998</v>
      </c>
      <c r="E52" s="234">
        <f>'3.6.5'!M56</f>
        <v>5812298.7999999998</v>
      </c>
      <c r="F52" s="234">
        <f>C52/100*22</f>
        <v>1278705.736</v>
      </c>
      <c r="G52" s="234">
        <f>D52/100*22</f>
        <v>1278705.736</v>
      </c>
      <c r="H52" s="234">
        <f>E52/100*22</f>
        <v>1278705.736</v>
      </c>
    </row>
    <row r="53" spans="1:8" x14ac:dyDescent="0.2">
      <c r="A53" s="31" t="s">
        <v>210</v>
      </c>
      <c r="B53" s="237"/>
      <c r="C53" s="234"/>
      <c r="D53" s="234"/>
      <c r="E53" s="234"/>
      <c r="F53" s="234"/>
      <c r="G53" s="234"/>
      <c r="H53" s="234"/>
    </row>
    <row r="54" spans="1:8" x14ac:dyDescent="0.2">
      <c r="A54" s="31" t="s">
        <v>211</v>
      </c>
      <c r="B54" s="104">
        <v>120</v>
      </c>
      <c r="C54" s="103"/>
      <c r="D54" s="103"/>
      <c r="E54" s="103"/>
      <c r="F54" s="103"/>
      <c r="G54" s="103"/>
      <c r="H54" s="103"/>
    </row>
    <row r="55" spans="1:8" ht="38.25" x14ac:dyDescent="0.2">
      <c r="A55" s="31" t="s">
        <v>212</v>
      </c>
      <c r="B55" s="104">
        <v>130</v>
      </c>
      <c r="C55" s="103"/>
      <c r="D55" s="103"/>
      <c r="E55" s="103"/>
      <c r="F55" s="103"/>
      <c r="G55" s="103"/>
      <c r="H55" s="103"/>
    </row>
    <row r="56" spans="1:8" ht="25.5" x14ac:dyDescent="0.2">
      <c r="A56" s="31" t="s">
        <v>213</v>
      </c>
      <c r="B56" s="104">
        <v>200</v>
      </c>
      <c r="C56" s="103"/>
      <c r="D56" s="103"/>
      <c r="E56" s="103"/>
      <c r="F56" s="32">
        <f>F57+F60</f>
        <v>180181.2628</v>
      </c>
      <c r="G56" s="32">
        <f>G57+G60</f>
        <v>180181.2628</v>
      </c>
      <c r="H56" s="32">
        <f>H57+H60</f>
        <v>180181.2628</v>
      </c>
    </row>
    <row r="57" spans="1:8" x14ac:dyDescent="0.2">
      <c r="A57" s="31" t="s">
        <v>15</v>
      </c>
      <c r="B57" s="237">
        <v>210</v>
      </c>
      <c r="C57" s="234">
        <f>C52</f>
        <v>5812298.7999999998</v>
      </c>
      <c r="D57" s="234">
        <f>D52</f>
        <v>5812298.7999999998</v>
      </c>
      <c r="E57" s="234">
        <f>E52</f>
        <v>5812298.7999999998</v>
      </c>
      <c r="F57" s="234">
        <f>C57/100*2.9</f>
        <v>168556.66519999999</v>
      </c>
      <c r="G57" s="234">
        <f>D57/100*2.9</f>
        <v>168556.66519999999</v>
      </c>
      <c r="H57" s="234">
        <f>E57/100*2.9</f>
        <v>168556.66519999999</v>
      </c>
    </row>
    <row r="58" spans="1:8" ht="38.25" x14ac:dyDescent="0.2">
      <c r="A58" s="31" t="s">
        <v>214</v>
      </c>
      <c r="B58" s="237"/>
      <c r="C58" s="234"/>
      <c r="D58" s="234"/>
      <c r="E58" s="234"/>
      <c r="F58" s="234"/>
      <c r="G58" s="234"/>
      <c r="H58" s="234"/>
    </row>
    <row r="59" spans="1:8" ht="25.5" x14ac:dyDescent="0.2">
      <c r="A59" s="31" t="s">
        <v>215</v>
      </c>
      <c r="B59" s="104">
        <v>220</v>
      </c>
      <c r="C59" s="103"/>
      <c r="D59" s="103"/>
      <c r="E59" s="103"/>
      <c r="F59" s="103"/>
      <c r="G59" s="103"/>
      <c r="H59" s="103"/>
    </row>
    <row r="60" spans="1:8" ht="38.25" x14ac:dyDescent="0.2">
      <c r="A60" s="31" t="s">
        <v>216</v>
      </c>
      <c r="B60" s="104">
        <v>230</v>
      </c>
      <c r="C60" s="103">
        <f>C52</f>
        <v>5812298.7999999998</v>
      </c>
      <c r="D60" s="103">
        <f>D52</f>
        <v>5812298.7999999998</v>
      </c>
      <c r="E60" s="103">
        <f>E52</f>
        <v>5812298.7999999998</v>
      </c>
      <c r="F60" s="103">
        <f>C60/100*0.2</f>
        <v>11624.597600000001</v>
      </c>
      <c r="G60" s="103">
        <f>D60/100*0.2</f>
        <v>11624.597600000001</v>
      </c>
      <c r="H60" s="103">
        <f>E60/100*0.2</f>
        <v>11624.597600000001</v>
      </c>
    </row>
    <row r="61" spans="1:8" ht="38.25" x14ac:dyDescent="0.2">
      <c r="A61" s="169" t="s">
        <v>217</v>
      </c>
      <c r="B61" s="104">
        <v>240</v>
      </c>
      <c r="C61" s="103"/>
      <c r="D61" s="103"/>
      <c r="E61" s="103"/>
      <c r="F61" s="103"/>
      <c r="G61" s="103"/>
      <c r="H61" s="103"/>
    </row>
    <row r="62" spans="1:8" ht="38.25" x14ac:dyDescent="0.2">
      <c r="A62" s="169" t="s">
        <v>217</v>
      </c>
      <c r="B62" s="31"/>
      <c r="C62" s="103"/>
      <c r="D62" s="103"/>
      <c r="E62" s="103"/>
      <c r="F62" s="103"/>
      <c r="G62" s="103"/>
      <c r="H62" s="103"/>
    </row>
    <row r="63" spans="1:8" ht="25.5" x14ac:dyDescent="0.2">
      <c r="A63" s="31" t="s">
        <v>218</v>
      </c>
      <c r="B63" s="104">
        <v>300</v>
      </c>
      <c r="C63" s="103">
        <f>C52</f>
        <v>5812298.7999999998</v>
      </c>
      <c r="D63" s="103">
        <f>D52</f>
        <v>5812298.7999999998</v>
      </c>
      <c r="E63" s="103">
        <f>E52</f>
        <v>5812298.7999999998</v>
      </c>
      <c r="F63" s="32">
        <f>F64</f>
        <v>296427.23879999999</v>
      </c>
      <c r="G63" s="32">
        <f>G64</f>
        <v>296428.20120000013</v>
      </c>
      <c r="H63" s="32">
        <f>H64</f>
        <v>296428.20120000013</v>
      </c>
    </row>
    <row r="64" spans="1:8" x14ac:dyDescent="0.2">
      <c r="A64" s="31" t="s">
        <v>15</v>
      </c>
      <c r="B64" s="237">
        <v>310</v>
      </c>
      <c r="C64" s="234">
        <f>C52</f>
        <v>5812298.7999999998</v>
      </c>
      <c r="D64" s="234">
        <f>D52</f>
        <v>5812298.7999999998</v>
      </c>
      <c r="E64" s="234">
        <f>E52</f>
        <v>5812298.7999999998</v>
      </c>
      <c r="F64" s="234">
        <f>C64/100*5.1</f>
        <v>296427.23879999999</v>
      </c>
      <c r="G64" s="234">
        <f>G66-G51-G56</f>
        <v>296428.20120000013</v>
      </c>
      <c r="H64" s="234">
        <f>H66-H51-H56</f>
        <v>296428.20120000013</v>
      </c>
    </row>
    <row r="65" spans="1:10" ht="25.5" x14ac:dyDescent="0.2">
      <c r="A65" s="31" t="s">
        <v>219</v>
      </c>
      <c r="B65" s="237"/>
      <c r="C65" s="234"/>
      <c r="D65" s="234"/>
      <c r="E65" s="234"/>
      <c r="F65" s="234"/>
      <c r="G65" s="234"/>
      <c r="H65" s="234"/>
      <c r="I65" s="111" t="s">
        <v>434</v>
      </c>
      <c r="J65" s="111" t="s">
        <v>435</v>
      </c>
    </row>
    <row r="66" spans="1:10" x14ac:dyDescent="0.2">
      <c r="A66" s="31" t="s">
        <v>136</v>
      </c>
      <c r="B66" s="104">
        <v>9000</v>
      </c>
      <c r="C66" s="104" t="s">
        <v>12</v>
      </c>
      <c r="D66" s="104" t="s">
        <v>12</v>
      </c>
      <c r="E66" s="104" t="s">
        <v>12</v>
      </c>
      <c r="F66" s="32">
        <f>1252758.36+502555.88+0.96</f>
        <v>1755315.2000000002</v>
      </c>
      <c r="G66" s="32">
        <f t="shared" ref="G66:H66" si="0">1252758.36+502555.88+0.96</f>
        <v>1755315.2000000002</v>
      </c>
      <c r="H66" s="32">
        <f t="shared" si="0"/>
        <v>1755315.2000000002</v>
      </c>
      <c r="I66" s="111"/>
      <c r="J66" s="170">
        <f>F66-I66</f>
        <v>1755315.2000000002</v>
      </c>
    </row>
    <row r="68" spans="1:10" x14ac:dyDescent="0.2">
      <c r="A68" s="95" t="str">
        <f>'3.13.1'!M9</f>
        <v>0701 4200099000 853</v>
      </c>
    </row>
    <row r="69" spans="1:10" x14ac:dyDescent="0.2">
      <c r="A69" s="237" t="s">
        <v>206</v>
      </c>
      <c r="B69" s="237" t="s">
        <v>1</v>
      </c>
      <c r="C69" s="237" t="s">
        <v>207</v>
      </c>
      <c r="D69" s="237"/>
      <c r="E69" s="237"/>
      <c r="F69" s="237" t="s">
        <v>208</v>
      </c>
      <c r="G69" s="237"/>
      <c r="H69" s="237"/>
    </row>
    <row r="70" spans="1:10" x14ac:dyDescent="0.2">
      <c r="A70" s="237"/>
      <c r="B70" s="237"/>
      <c r="C70" s="104" t="s">
        <v>353</v>
      </c>
      <c r="D70" s="104" t="s">
        <v>455</v>
      </c>
      <c r="E70" s="104" t="s">
        <v>508</v>
      </c>
      <c r="F70" s="104" t="s">
        <v>353</v>
      </c>
      <c r="G70" s="104" t="s">
        <v>455</v>
      </c>
      <c r="H70" s="104" t="s">
        <v>508</v>
      </c>
    </row>
    <row r="71" spans="1:10" ht="38.25" x14ac:dyDescent="0.2">
      <c r="A71" s="237"/>
      <c r="B71" s="237"/>
      <c r="C71" s="104" t="s">
        <v>79</v>
      </c>
      <c r="D71" s="104" t="s">
        <v>80</v>
      </c>
      <c r="E71" s="104" t="s">
        <v>81</v>
      </c>
      <c r="F71" s="104" t="s">
        <v>79</v>
      </c>
      <c r="G71" s="104" t="s">
        <v>80</v>
      </c>
      <c r="H71" s="104" t="s">
        <v>81</v>
      </c>
    </row>
    <row r="72" spans="1:10" x14ac:dyDescent="0.2">
      <c r="A72" s="104">
        <v>1</v>
      </c>
      <c r="B72" s="104">
        <v>2</v>
      </c>
      <c r="C72" s="104">
        <v>3</v>
      </c>
      <c r="D72" s="104">
        <v>4</v>
      </c>
      <c r="E72" s="104">
        <v>5</v>
      </c>
      <c r="F72" s="104">
        <v>6</v>
      </c>
      <c r="G72" s="104">
        <v>7</v>
      </c>
      <c r="H72" s="104">
        <v>8</v>
      </c>
    </row>
    <row r="73" spans="1:10" ht="25.5" x14ac:dyDescent="0.2">
      <c r="A73" s="31" t="s">
        <v>209</v>
      </c>
      <c r="B73" s="104">
        <v>100</v>
      </c>
      <c r="C73" s="103"/>
      <c r="D73" s="103"/>
      <c r="E73" s="103"/>
      <c r="F73" s="32">
        <f>F74+F76+F77</f>
        <v>178881.91200000001</v>
      </c>
      <c r="G73" s="32">
        <f>G74+G76+G77</f>
        <v>178881.91200000001</v>
      </c>
      <c r="H73" s="32">
        <f>H74+H76+H77</f>
        <v>178881.91200000001</v>
      </c>
    </row>
    <row r="74" spans="1:10" x14ac:dyDescent="0.2">
      <c r="A74" s="31" t="s">
        <v>15</v>
      </c>
      <c r="B74" s="237">
        <v>110</v>
      </c>
      <c r="C74" s="234">
        <f>'3.6.3(211)'!D87</f>
        <v>813099.6</v>
      </c>
      <c r="D74" s="234">
        <f>'3.6.4'!D72</f>
        <v>813099.6</v>
      </c>
      <c r="E74" s="234">
        <f>'3.6.5'!D72</f>
        <v>813099.6</v>
      </c>
      <c r="F74" s="234">
        <f>C74/100*22</f>
        <v>178881.91200000001</v>
      </c>
      <c r="G74" s="234">
        <f>D74/100*22</f>
        <v>178881.91200000001</v>
      </c>
      <c r="H74" s="234">
        <f>E74/100*22</f>
        <v>178881.91200000001</v>
      </c>
    </row>
    <row r="75" spans="1:10" x14ac:dyDescent="0.2">
      <c r="A75" s="31" t="s">
        <v>210</v>
      </c>
      <c r="B75" s="237"/>
      <c r="C75" s="234"/>
      <c r="D75" s="234"/>
      <c r="E75" s="234"/>
      <c r="F75" s="234"/>
      <c r="G75" s="234"/>
      <c r="H75" s="234"/>
    </row>
    <row r="76" spans="1:10" x14ac:dyDescent="0.2">
      <c r="A76" s="31" t="s">
        <v>211</v>
      </c>
      <c r="B76" s="104">
        <v>120</v>
      </c>
      <c r="C76" s="103"/>
      <c r="D76" s="103"/>
      <c r="E76" s="103"/>
      <c r="F76" s="103"/>
      <c r="G76" s="103"/>
      <c r="H76" s="103"/>
    </row>
    <row r="77" spans="1:10" ht="38.25" x14ac:dyDescent="0.2">
      <c r="A77" s="31" t="s">
        <v>212</v>
      </c>
      <c r="B77" s="104">
        <v>130</v>
      </c>
      <c r="C77" s="103"/>
      <c r="D77" s="103"/>
      <c r="E77" s="103"/>
      <c r="F77" s="103"/>
      <c r="G77" s="103"/>
      <c r="H77" s="103"/>
    </row>
    <row r="78" spans="1:10" ht="25.5" x14ac:dyDescent="0.2">
      <c r="A78" s="31" t="s">
        <v>213</v>
      </c>
      <c r="B78" s="104">
        <v>200</v>
      </c>
      <c r="C78" s="103"/>
      <c r="D78" s="103"/>
      <c r="E78" s="103"/>
      <c r="F78" s="32">
        <f>F79+F82</f>
        <v>25206.087599999999</v>
      </c>
      <c r="G78" s="32">
        <f>G79+G82</f>
        <v>25206.087599999999</v>
      </c>
      <c r="H78" s="32">
        <f>H79+H82</f>
        <v>25206.087599999999</v>
      </c>
    </row>
    <row r="79" spans="1:10" x14ac:dyDescent="0.2">
      <c r="A79" s="31" t="s">
        <v>15</v>
      </c>
      <c r="B79" s="237">
        <v>210</v>
      </c>
      <c r="C79" s="234">
        <f>C74</f>
        <v>813099.6</v>
      </c>
      <c r="D79" s="234">
        <f>D74</f>
        <v>813099.6</v>
      </c>
      <c r="E79" s="234">
        <f>E74</f>
        <v>813099.6</v>
      </c>
      <c r="F79" s="234">
        <f>C79/100*2.9</f>
        <v>23579.8884</v>
      </c>
      <c r="G79" s="234">
        <f>D79/100*2.9</f>
        <v>23579.8884</v>
      </c>
      <c r="H79" s="234">
        <f>E79/100*2.9</f>
        <v>23579.8884</v>
      </c>
    </row>
    <row r="80" spans="1:10" ht="38.25" x14ac:dyDescent="0.2">
      <c r="A80" s="31" t="s">
        <v>214</v>
      </c>
      <c r="B80" s="237"/>
      <c r="C80" s="234"/>
      <c r="D80" s="234"/>
      <c r="E80" s="234"/>
      <c r="F80" s="234"/>
      <c r="G80" s="234"/>
      <c r="H80" s="234"/>
    </row>
    <row r="81" spans="1:10" ht="25.5" x14ac:dyDescent="0.2">
      <c r="A81" s="31" t="s">
        <v>215</v>
      </c>
      <c r="B81" s="104">
        <v>220</v>
      </c>
      <c r="C81" s="103"/>
      <c r="D81" s="103"/>
      <c r="E81" s="103"/>
      <c r="F81" s="103"/>
      <c r="G81" s="103"/>
      <c r="H81" s="103"/>
    </row>
    <row r="82" spans="1:10" ht="38.25" x14ac:dyDescent="0.2">
      <c r="A82" s="31" t="s">
        <v>216</v>
      </c>
      <c r="B82" s="104">
        <v>230</v>
      </c>
      <c r="C82" s="103">
        <f>C74</f>
        <v>813099.6</v>
      </c>
      <c r="D82" s="103">
        <f>D74</f>
        <v>813099.6</v>
      </c>
      <c r="E82" s="103">
        <f>E74</f>
        <v>813099.6</v>
      </c>
      <c r="F82" s="103">
        <f>C82/100*0.2</f>
        <v>1626.1992</v>
      </c>
      <c r="G82" s="103">
        <f>D82/100*0.2</f>
        <v>1626.1992</v>
      </c>
      <c r="H82" s="103">
        <f>E82/100*0.2</f>
        <v>1626.1992</v>
      </c>
    </row>
    <row r="83" spans="1:10" ht="38.25" x14ac:dyDescent="0.2">
      <c r="A83" s="169" t="s">
        <v>217</v>
      </c>
      <c r="B83" s="104">
        <v>240</v>
      </c>
      <c r="C83" s="103"/>
      <c r="D83" s="103"/>
      <c r="E83" s="103"/>
      <c r="F83" s="103"/>
      <c r="G83" s="103"/>
      <c r="H83" s="103"/>
    </row>
    <row r="84" spans="1:10" ht="38.25" x14ac:dyDescent="0.2">
      <c r="A84" s="169" t="s">
        <v>217</v>
      </c>
      <c r="B84" s="31"/>
      <c r="C84" s="103"/>
      <c r="D84" s="103"/>
      <c r="E84" s="103"/>
      <c r="F84" s="103"/>
      <c r="G84" s="103"/>
      <c r="H84" s="103"/>
    </row>
    <row r="85" spans="1:10" ht="25.5" x14ac:dyDescent="0.2">
      <c r="A85" s="31" t="s">
        <v>218</v>
      </c>
      <c r="B85" s="104">
        <v>300</v>
      </c>
      <c r="C85" s="103">
        <f>C74</f>
        <v>813099.6</v>
      </c>
      <c r="D85" s="103">
        <f>D74</f>
        <v>813099.6</v>
      </c>
      <c r="E85" s="103">
        <f>E74</f>
        <v>813099.6</v>
      </c>
      <c r="F85" s="32">
        <f>F86</f>
        <v>41468.079599999997</v>
      </c>
      <c r="G85" s="32">
        <f>G86</f>
        <v>41468.079599999997</v>
      </c>
      <c r="H85" s="32">
        <f>H86</f>
        <v>41468.079599999997</v>
      </c>
    </row>
    <row r="86" spans="1:10" x14ac:dyDescent="0.2">
      <c r="A86" s="31" t="s">
        <v>15</v>
      </c>
      <c r="B86" s="237">
        <v>310</v>
      </c>
      <c r="C86" s="234">
        <f>C74</f>
        <v>813099.6</v>
      </c>
      <c r="D86" s="234">
        <f>D74</f>
        <v>813099.6</v>
      </c>
      <c r="E86" s="234">
        <f>E74</f>
        <v>813099.6</v>
      </c>
      <c r="F86" s="234">
        <f>C86/100*5.1</f>
        <v>41468.079599999997</v>
      </c>
      <c r="G86" s="234">
        <f>D86/100*5.1</f>
        <v>41468.079599999997</v>
      </c>
      <c r="H86" s="234">
        <f>E86/100*5.1</f>
        <v>41468.079599999997</v>
      </c>
    </row>
    <row r="87" spans="1:10" ht="25.5" x14ac:dyDescent="0.2">
      <c r="A87" s="31" t="s">
        <v>219</v>
      </c>
      <c r="B87" s="237"/>
      <c r="C87" s="234"/>
      <c r="D87" s="234"/>
      <c r="E87" s="234"/>
      <c r="F87" s="234"/>
      <c r="G87" s="234"/>
      <c r="H87" s="234"/>
      <c r="I87" s="111" t="s">
        <v>434</v>
      </c>
      <c r="J87" s="111" t="s">
        <v>435</v>
      </c>
    </row>
    <row r="88" spans="1:10" x14ac:dyDescent="0.2">
      <c r="A88" s="31" t="s">
        <v>136</v>
      </c>
      <c r="B88" s="104">
        <v>9000</v>
      </c>
      <c r="C88" s="104" t="s">
        <v>12</v>
      </c>
      <c r="D88" s="104" t="s">
        <v>12</v>
      </c>
      <c r="E88" s="104" t="s">
        <v>12</v>
      </c>
      <c r="F88" s="32">
        <v>245609.4</v>
      </c>
      <c r="G88" s="32">
        <f>F88</f>
        <v>245609.4</v>
      </c>
      <c r="H88" s="32">
        <f>F88</f>
        <v>245609.4</v>
      </c>
      <c r="I88" s="111"/>
      <c r="J88" s="170">
        <f>F88-I88</f>
        <v>245609.4</v>
      </c>
    </row>
    <row r="89" spans="1:10" x14ac:dyDescent="0.2">
      <c r="I89" s="80">
        <f>I88+I66+I44+I22</f>
        <v>0</v>
      </c>
      <c r="J89" s="80">
        <f>J88+J66+J44+J22</f>
        <v>6947989.5999999996</v>
      </c>
    </row>
  </sheetData>
  <mergeCells count="100">
    <mergeCell ref="G79:G80"/>
    <mergeCell ref="H79:H80"/>
    <mergeCell ref="B86:B87"/>
    <mergeCell ref="C86:C87"/>
    <mergeCell ref="D86:D87"/>
    <mergeCell ref="E86:E87"/>
    <mergeCell ref="F86:F87"/>
    <mergeCell ref="G86:G87"/>
    <mergeCell ref="H86:H87"/>
    <mergeCell ref="B79:B80"/>
    <mergeCell ref="C79:C80"/>
    <mergeCell ref="D79:D80"/>
    <mergeCell ref="E79:E80"/>
    <mergeCell ref="F79:F80"/>
    <mergeCell ref="A69:A71"/>
    <mergeCell ref="B69:B71"/>
    <mergeCell ref="C69:E69"/>
    <mergeCell ref="F69:H69"/>
    <mergeCell ref="B74:B75"/>
    <mergeCell ref="C74:C75"/>
    <mergeCell ref="D74:D75"/>
    <mergeCell ref="E74:E75"/>
    <mergeCell ref="F74:F75"/>
    <mergeCell ref="G74:G75"/>
    <mergeCell ref="H74:H75"/>
    <mergeCell ref="G57:G58"/>
    <mergeCell ref="H57:H58"/>
    <mergeCell ref="B64:B65"/>
    <mergeCell ref="C64:C65"/>
    <mergeCell ref="D64:D65"/>
    <mergeCell ref="E64:E65"/>
    <mergeCell ref="F64:F65"/>
    <mergeCell ref="G64:G65"/>
    <mergeCell ref="H64:H65"/>
    <mergeCell ref="B57:B58"/>
    <mergeCell ref="C57:C58"/>
    <mergeCell ref="D57:D58"/>
    <mergeCell ref="E57:E58"/>
    <mergeCell ref="F57:F58"/>
    <mergeCell ref="A47:A49"/>
    <mergeCell ref="B47:B49"/>
    <mergeCell ref="C47:E47"/>
    <mergeCell ref="F47:H47"/>
    <mergeCell ref="B52:B53"/>
    <mergeCell ref="C52:C53"/>
    <mergeCell ref="D52:D53"/>
    <mergeCell ref="E52:E53"/>
    <mergeCell ref="F52:F53"/>
    <mergeCell ref="G52:G53"/>
    <mergeCell ref="H52:H53"/>
    <mergeCell ref="G35:G36"/>
    <mergeCell ref="H35:H36"/>
    <mergeCell ref="B42:B43"/>
    <mergeCell ref="C42:C43"/>
    <mergeCell ref="D42:D43"/>
    <mergeCell ref="E42:E43"/>
    <mergeCell ref="F42:F43"/>
    <mergeCell ref="G42:G43"/>
    <mergeCell ref="H42:H43"/>
    <mergeCell ref="B35:B36"/>
    <mergeCell ref="C35:C36"/>
    <mergeCell ref="D35:D36"/>
    <mergeCell ref="E35:E36"/>
    <mergeCell ref="F35:F36"/>
    <mergeCell ref="A25:A27"/>
    <mergeCell ref="B25:B27"/>
    <mergeCell ref="C25:E25"/>
    <mergeCell ref="F25:H25"/>
    <mergeCell ref="B30:B31"/>
    <mergeCell ref="C30:C31"/>
    <mergeCell ref="D30:D31"/>
    <mergeCell ref="E30:E31"/>
    <mergeCell ref="F30:F31"/>
    <mergeCell ref="G30:G31"/>
    <mergeCell ref="H30:H31"/>
    <mergeCell ref="G13:G14"/>
    <mergeCell ref="H13:H14"/>
    <mergeCell ref="H20:H21"/>
    <mergeCell ref="B20:B21"/>
    <mergeCell ref="C20:C21"/>
    <mergeCell ref="D20:D21"/>
    <mergeCell ref="E20:E21"/>
    <mergeCell ref="F20:F21"/>
    <mergeCell ref="G20:G21"/>
    <mergeCell ref="B13:B14"/>
    <mergeCell ref="C13:C14"/>
    <mergeCell ref="D13:D14"/>
    <mergeCell ref="E13:E14"/>
    <mergeCell ref="F13:F14"/>
    <mergeCell ref="A3:A5"/>
    <mergeCell ref="B3:B5"/>
    <mergeCell ref="C3:E3"/>
    <mergeCell ref="F3:H3"/>
    <mergeCell ref="B8:B9"/>
    <mergeCell ref="C8:C9"/>
    <mergeCell ref="D8:D9"/>
    <mergeCell ref="E8:E9"/>
    <mergeCell ref="F8:F9"/>
    <mergeCell ref="G8:G9"/>
    <mergeCell ref="H8:H9"/>
  </mergeCells>
  <hyperlinks>
    <hyperlink ref="A17" location="Par1417" display="Par1417"/>
    <hyperlink ref="A18" location="Par1417" display="Par1417"/>
    <hyperlink ref="A39" location="Par1417" display="Par1417"/>
    <hyperlink ref="A40" location="Par1417" display="Par1417"/>
    <hyperlink ref="A61" location="Par1417" display="Par1417"/>
    <hyperlink ref="A62" location="Par1417" display="Par1417"/>
    <hyperlink ref="A83" location="Par1417" display="Par1417"/>
    <hyperlink ref="A84" location="Par1417" display="Par1417"/>
  </hyperlinks>
  <pageMargins left="0.31496062992125984" right="0.11811023622047245" top="0.74803149606299213" bottom="0.35433070866141736" header="0.11811023622047245" footer="0.11811023622047245"/>
  <pageSetup paperSize="9" scale="99" fitToHeight="4" orientation="landscape" r:id="rId1"/>
  <rowBreaks count="1" manualBreakCount="1">
    <brk id="4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61"/>
  <sheetViews>
    <sheetView view="pageBreakPreview" topLeftCell="A13" zoomScaleNormal="100" zoomScaleSheetLayoutView="100" workbookViewId="0">
      <selection activeCell="A13" sqref="A1:XFD1048576"/>
    </sheetView>
  </sheetViews>
  <sheetFormatPr defaultRowHeight="15" x14ac:dyDescent="0.25"/>
  <cols>
    <col min="1" max="1" width="11.28515625" style="50" bestFit="1" customWidth="1"/>
    <col min="2" max="2" width="61.42578125" style="50" customWidth="1"/>
    <col min="3" max="3" width="9.28515625" style="50" bestFit="1" customWidth="1"/>
    <col min="4" max="4" width="13" style="50" customWidth="1"/>
    <col min="5" max="5" width="16" style="50" customWidth="1"/>
    <col min="6" max="6" width="17.5703125" style="50" customWidth="1"/>
    <col min="7" max="7" width="17.28515625" style="50" customWidth="1"/>
    <col min="8" max="8" width="17.7109375" style="50" customWidth="1"/>
    <col min="9" max="10" width="13" style="50" customWidth="1"/>
    <col min="11" max="16384" width="9.140625" style="50"/>
  </cols>
  <sheetData>
    <row r="1" spans="1:9" x14ac:dyDescent="0.25">
      <c r="A1" s="230" t="s">
        <v>105</v>
      </c>
      <c r="B1" s="230"/>
      <c r="C1" s="230"/>
      <c r="E1" s="192"/>
    </row>
    <row r="2" spans="1:9" ht="15.75" customHeight="1" x14ac:dyDescent="0.25">
      <c r="A2" s="225" t="s">
        <v>75</v>
      </c>
      <c r="B2" s="225" t="s">
        <v>0</v>
      </c>
      <c r="C2" s="225" t="s">
        <v>76</v>
      </c>
      <c r="D2" s="218" t="s">
        <v>77</v>
      </c>
      <c r="E2" s="218" t="s">
        <v>461</v>
      </c>
      <c r="F2" s="220" t="s">
        <v>78</v>
      </c>
      <c r="G2" s="221"/>
      <c r="H2" s="221"/>
      <c r="I2" s="222"/>
    </row>
    <row r="3" spans="1:9" ht="15.75" customHeight="1" x14ac:dyDescent="0.25">
      <c r="A3" s="225"/>
      <c r="B3" s="225"/>
      <c r="C3" s="225"/>
      <c r="D3" s="227"/>
      <c r="E3" s="227"/>
      <c r="F3" s="102" t="s">
        <v>353</v>
      </c>
      <c r="G3" s="102" t="s">
        <v>455</v>
      </c>
      <c r="H3" s="102" t="s">
        <v>508</v>
      </c>
      <c r="I3" s="218" t="s">
        <v>5</v>
      </c>
    </row>
    <row r="4" spans="1:9" ht="75" customHeight="1" x14ac:dyDescent="0.25">
      <c r="A4" s="225"/>
      <c r="B4" s="225"/>
      <c r="C4" s="225"/>
      <c r="D4" s="219"/>
      <c r="E4" s="219"/>
      <c r="F4" s="102" t="s">
        <v>79</v>
      </c>
      <c r="G4" s="102" t="s">
        <v>80</v>
      </c>
      <c r="H4" s="102" t="s">
        <v>81</v>
      </c>
      <c r="I4" s="219"/>
    </row>
    <row r="5" spans="1:9" x14ac:dyDescent="0.25">
      <c r="A5" s="181">
        <v>1</v>
      </c>
      <c r="B5" s="181">
        <v>2</v>
      </c>
      <c r="C5" s="181">
        <v>3</v>
      </c>
      <c r="D5" s="181">
        <v>4</v>
      </c>
      <c r="E5" s="193" t="s">
        <v>460</v>
      </c>
      <c r="F5" s="181">
        <v>5</v>
      </c>
      <c r="G5" s="181">
        <v>6</v>
      </c>
      <c r="H5" s="181">
        <v>7</v>
      </c>
      <c r="I5" s="181">
        <v>8</v>
      </c>
    </row>
    <row r="6" spans="1:9" ht="15.75" x14ac:dyDescent="0.25">
      <c r="A6" s="194">
        <v>1</v>
      </c>
      <c r="B6" s="59" t="s">
        <v>82</v>
      </c>
      <c r="C6" s="102">
        <v>26000</v>
      </c>
      <c r="D6" s="102" t="s">
        <v>12</v>
      </c>
      <c r="E6" s="102" t="s">
        <v>12</v>
      </c>
      <c r="F6" s="67">
        <f>Р.1!D79+Р.1!E79</f>
        <v>11451238.059999999</v>
      </c>
      <c r="G6" s="67">
        <f>Р.1!F79+Р.1!G79</f>
        <v>10851440</v>
      </c>
      <c r="H6" s="67">
        <f>Р.1!H79+Р.1!I79</f>
        <v>10851440</v>
      </c>
      <c r="I6" s="67"/>
    </row>
    <row r="7" spans="1:9" ht="15.75" x14ac:dyDescent="0.25">
      <c r="A7" s="226" t="s">
        <v>425</v>
      </c>
      <c r="B7" s="58" t="s">
        <v>15</v>
      </c>
      <c r="C7" s="225">
        <v>26100</v>
      </c>
      <c r="D7" s="225" t="s">
        <v>12</v>
      </c>
      <c r="E7" s="225" t="s">
        <v>12</v>
      </c>
      <c r="F7" s="223">
        <v>0</v>
      </c>
      <c r="G7" s="223">
        <v>0</v>
      </c>
      <c r="H7" s="223">
        <v>0</v>
      </c>
      <c r="I7" s="223"/>
    </row>
    <row r="8" spans="1:9" ht="154.5" customHeight="1" x14ac:dyDescent="0.25">
      <c r="A8" s="226"/>
      <c r="B8" s="58" t="s">
        <v>426</v>
      </c>
      <c r="C8" s="225"/>
      <c r="D8" s="225"/>
      <c r="E8" s="225"/>
      <c r="F8" s="224"/>
      <c r="G8" s="224"/>
      <c r="H8" s="224"/>
      <c r="I8" s="224"/>
    </row>
    <row r="9" spans="1:9" ht="63" x14ac:dyDescent="0.25">
      <c r="A9" s="194" t="s">
        <v>106</v>
      </c>
      <c r="B9" s="58" t="s">
        <v>427</v>
      </c>
      <c r="C9" s="102">
        <v>26200</v>
      </c>
      <c r="D9" s="102" t="s">
        <v>12</v>
      </c>
      <c r="E9" s="102" t="s">
        <v>12</v>
      </c>
      <c r="F9" s="67">
        <v>0</v>
      </c>
      <c r="G9" s="67">
        <v>0</v>
      </c>
      <c r="H9" s="67">
        <v>0</v>
      </c>
      <c r="I9" s="67"/>
    </row>
    <row r="10" spans="1:9" ht="31.5" x14ac:dyDescent="0.25">
      <c r="A10" s="194" t="s">
        <v>107</v>
      </c>
      <c r="B10" s="58" t="s">
        <v>83</v>
      </c>
      <c r="C10" s="102">
        <v>26300</v>
      </c>
      <c r="D10" s="102" t="s">
        <v>12</v>
      </c>
      <c r="E10" s="102" t="s">
        <v>12</v>
      </c>
      <c r="F10" s="68">
        <f>F11+F14</f>
        <v>6316786.3700000001</v>
      </c>
      <c r="G10" s="68">
        <f>G11+G14</f>
        <v>0</v>
      </c>
      <c r="H10" s="68">
        <f>H11+H14</f>
        <v>0</v>
      </c>
      <c r="I10" s="67"/>
    </row>
    <row r="11" spans="1:9" ht="15.75" x14ac:dyDescent="0.25">
      <c r="A11" s="226" t="s">
        <v>108</v>
      </c>
      <c r="B11" s="58" t="s">
        <v>15</v>
      </c>
      <c r="C11" s="225">
        <v>26310</v>
      </c>
      <c r="D11" s="225" t="s">
        <v>12</v>
      </c>
      <c r="E11" s="218" t="s">
        <v>12</v>
      </c>
      <c r="F11" s="223">
        <v>0</v>
      </c>
      <c r="G11" s="223">
        <v>0</v>
      </c>
      <c r="H11" s="223">
        <v>0</v>
      </c>
      <c r="I11" s="223"/>
    </row>
    <row r="12" spans="1:9" ht="15" customHeight="1" x14ac:dyDescent="0.25">
      <c r="A12" s="226"/>
      <c r="B12" s="59" t="s">
        <v>84</v>
      </c>
      <c r="C12" s="225"/>
      <c r="D12" s="225"/>
      <c r="E12" s="219"/>
      <c r="F12" s="224"/>
      <c r="G12" s="224"/>
      <c r="H12" s="224"/>
      <c r="I12" s="224"/>
    </row>
    <row r="13" spans="1:9" ht="15" customHeight="1" x14ac:dyDescent="0.25">
      <c r="A13" s="194"/>
      <c r="B13" s="59" t="s">
        <v>448</v>
      </c>
      <c r="C13" s="102" t="s">
        <v>449</v>
      </c>
      <c r="D13" s="102" t="s">
        <v>12</v>
      </c>
      <c r="E13" s="102" t="s">
        <v>12</v>
      </c>
      <c r="F13" s="67">
        <v>0</v>
      </c>
      <c r="G13" s="67">
        <v>0</v>
      </c>
      <c r="H13" s="67">
        <v>0</v>
      </c>
      <c r="I13" s="67"/>
    </row>
    <row r="14" spans="1:9" ht="15.75" x14ac:dyDescent="0.25">
      <c r="A14" s="226" t="s">
        <v>109</v>
      </c>
      <c r="B14" s="58" t="s">
        <v>15</v>
      </c>
      <c r="C14" s="225">
        <v>26320</v>
      </c>
      <c r="D14" s="225" t="s">
        <v>12</v>
      </c>
      <c r="E14" s="218" t="s">
        <v>12</v>
      </c>
      <c r="F14" s="223">
        <v>6316786.3700000001</v>
      </c>
      <c r="G14" s="223">
        <v>0</v>
      </c>
      <c r="H14" s="223">
        <v>0</v>
      </c>
      <c r="I14" s="223"/>
    </row>
    <row r="15" spans="1:9" ht="15.75" x14ac:dyDescent="0.25">
      <c r="A15" s="226"/>
      <c r="B15" s="58" t="s">
        <v>85</v>
      </c>
      <c r="C15" s="225"/>
      <c r="D15" s="225"/>
      <c r="E15" s="219"/>
      <c r="F15" s="224"/>
      <c r="G15" s="224"/>
      <c r="H15" s="224"/>
      <c r="I15" s="224"/>
    </row>
    <row r="16" spans="1:9" ht="63" x14ac:dyDescent="0.25">
      <c r="A16" s="194" t="s">
        <v>110</v>
      </c>
      <c r="B16" s="58" t="s">
        <v>86</v>
      </c>
      <c r="C16" s="102">
        <v>26400</v>
      </c>
      <c r="D16" s="102" t="s">
        <v>12</v>
      </c>
      <c r="E16" s="102" t="s">
        <v>12</v>
      </c>
      <c r="F16" s="68">
        <f>F17+F22+F33</f>
        <v>5134451.6899999985</v>
      </c>
      <c r="G16" s="68">
        <f>G17+G22+G33</f>
        <v>10851440</v>
      </c>
      <c r="H16" s="68">
        <f>H17+H22+H33</f>
        <v>10851440</v>
      </c>
      <c r="I16" s="67"/>
    </row>
    <row r="17" spans="1:9" ht="15.75" x14ac:dyDescent="0.25">
      <c r="A17" s="226" t="s">
        <v>111</v>
      </c>
      <c r="B17" s="58" t="s">
        <v>15</v>
      </c>
      <c r="C17" s="225">
        <v>26410</v>
      </c>
      <c r="D17" s="225" t="s">
        <v>12</v>
      </c>
      <c r="E17" s="218" t="s">
        <v>12</v>
      </c>
      <c r="F17" s="228">
        <f>F19+F21</f>
        <v>526444.62999999896</v>
      </c>
      <c r="G17" s="228">
        <f>G19+G21</f>
        <v>6843231</v>
      </c>
      <c r="H17" s="228">
        <f>H19+H21</f>
        <v>6843231</v>
      </c>
      <c r="I17" s="223"/>
    </row>
    <row r="18" spans="1:9" ht="47.25" x14ac:dyDescent="0.25">
      <c r="A18" s="226"/>
      <c r="B18" s="58" t="s">
        <v>87</v>
      </c>
      <c r="C18" s="225"/>
      <c r="D18" s="225"/>
      <c r="E18" s="219"/>
      <c r="F18" s="229"/>
      <c r="G18" s="229"/>
      <c r="H18" s="229"/>
      <c r="I18" s="224"/>
    </row>
    <row r="19" spans="1:9" ht="15.75" x14ac:dyDescent="0.25">
      <c r="A19" s="226" t="s">
        <v>88</v>
      </c>
      <c r="B19" s="58" t="s">
        <v>15</v>
      </c>
      <c r="C19" s="225">
        <v>26411</v>
      </c>
      <c r="D19" s="225" t="s">
        <v>12</v>
      </c>
      <c r="E19" s="218" t="s">
        <v>12</v>
      </c>
      <c r="F19" s="223">
        <v>0</v>
      </c>
      <c r="G19" s="223">
        <v>0</v>
      </c>
      <c r="H19" s="223">
        <v>0</v>
      </c>
      <c r="I19" s="223"/>
    </row>
    <row r="20" spans="1:9" ht="15.75" customHeight="1" x14ac:dyDescent="0.25">
      <c r="A20" s="226"/>
      <c r="B20" s="59" t="s">
        <v>84</v>
      </c>
      <c r="C20" s="225"/>
      <c r="D20" s="225"/>
      <c r="E20" s="219"/>
      <c r="F20" s="224"/>
      <c r="G20" s="224"/>
      <c r="H20" s="224"/>
      <c r="I20" s="224"/>
    </row>
    <row r="21" spans="1:9" ht="15.75" x14ac:dyDescent="0.25">
      <c r="A21" s="194" t="s">
        <v>89</v>
      </c>
      <c r="B21" s="58" t="s">
        <v>90</v>
      </c>
      <c r="C21" s="102">
        <v>26412</v>
      </c>
      <c r="D21" s="102" t="s">
        <v>12</v>
      </c>
      <c r="E21" s="102" t="s">
        <v>12</v>
      </c>
      <c r="F21" s="67">
        <f>F6-F10-F22-F33</f>
        <v>526444.62999999896</v>
      </c>
      <c r="G21" s="67">
        <f>G6-G10-G22-G33</f>
        <v>6843231</v>
      </c>
      <c r="H21" s="67">
        <f>H6-H10-H22-H33</f>
        <v>6843231</v>
      </c>
      <c r="I21" s="67"/>
    </row>
    <row r="22" spans="1:9" ht="45" x14ac:dyDescent="0.25">
      <c r="A22" s="194" t="s">
        <v>112</v>
      </c>
      <c r="B22" s="59" t="s">
        <v>91</v>
      </c>
      <c r="C22" s="102">
        <v>26420</v>
      </c>
      <c r="D22" s="102" t="s">
        <v>12</v>
      </c>
      <c r="E22" s="102" t="s">
        <v>12</v>
      </c>
      <c r="F22" s="68">
        <f>F23+F26</f>
        <v>157200</v>
      </c>
      <c r="G22" s="68">
        <f>G23+G26</f>
        <v>157200</v>
      </c>
      <c r="H22" s="68">
        <f>H23+H26</f>
        <v>157200</v>
      </c>
      <c r="I22" s="67"/>
    </row>
    <row r="23" spans="1:9" ht="15.75" x14ac:dyDescent="0.25">
      <c r="A23" s="226" t="s">
        <v>92</v>
      </c>
      <c r="B23" s="58" t="s">
        <v>15</v>
      </c>
      <c r="C23" s="225">
        <v>26421</v>
      </c>
      <c r="D23" s="225" t="s">
        <v>12</v>
      </c>
      <c r="E23" s="218" t="s">
        <v>12</v>
      </c>
      <c r="F23" s="223">
        <v>0</v>
      </c>
      <c r="G23" s="223">
        <v>0</v>
      </c>
      <c r="H23" s="223">
        <v>0</v>
      </c>
      <c r="I23" s="223"/>
    </row>
    <row r="24" spans="1:9" ht="15.75" customHeight="1" x14ac:dyDescent="0.25">
      <c r="A24" s="226"/>
      <c r="B24" s="59" t="s">
        <v>84</v>
      </c>
      <c r="C24" s="225"/>
      <c r="D24" s="225"/>
      <c r="E24" s="219"/>
      <c r="F24" s="224"/>
      <c r="G24" s="224"/>
      <c r="H24" s="224"/>
      <c r="I24" s="224"/>
    </row>
    <row r="25" spans="1:9" ht="15" customHeight="1" x14ac:dyDescent="0.25">
      <c r="A25" s="194"/>
      <c r="B25" s="59" t="s">
        <v>448</v>
      </c>
      <c r="C25" s="102" t="s">
        <v>450</v>
      </c>
      <c r="D25" s="102" t="s">
        <v>12</v>
      </c>
      <c r="E25" s="102" t="s">
        <v>12</v>
      </c>
      <c r="F25" s="67">
        <v>0</v>
      </c>
      <c r="G25" s="67">
        <v>0</v>
      </c>
      <c r="H25" s="67">
        <v>0</v>
      </c>
      <c r="I25" s="67"/>
    </row>
    <row r="26" spans="1:9" ht="15.75" x14ac:dyDescent="0.25">
      <c r="A26" s="194" t="s">
        <v>93</v>
      </c>
      <c r="B26" s="58" t="s">
        <v>90</v>
      </c>
      <c r="C26" s="102">
        <v>26422</v>
      </c>
      <c r="D26" s="102" t="s">
        <v>12</v>
      </c>
      <c r="E26" s="102"/>
      <c r="F26" s="67">
        <f>'3.13.1'!E13+'3.13.1'!F13+'3.13.1'!H13+'3.13.1'!K13+'3.13.1'!G13</f>
        <v>157200</v>
      </c>
      <c r="G26" s="67">
        <f>'3.13.1'!H37+'3.13.1'!K37+'3.13.1'!G37</f>
        <v>157200</v>
      </c>
      <c r="H26" s="67">
        <f>'3.13.1'!H61+'3.13.1'!K61+'3.13.1'!G61</f>
        <v>157200</v>
      </c>
      <c r="I26" s="67"/>
    </row>
    <row r="27" spans="1:9" ht="30" x14ac:dyDescent="0.25">
      <c r="A27" s="194" t="s">
        <v>113</v>
      </c>
      <c r="B27" s="59" t="s">
        <v>94</v>
      </c>
      <c r="C27" s="102">
        <v>26430</v>
      </c>
      <c r="D27" s="102" t="s">
        <v>12</v>
      </c>
      <c r="E27" s="102" t="s">
        <v>12</v>
      </c>
      <c r="F27" s="67"/>
      <c r="G27" s="67"/>
      <c r="H27" s="67"/>
      <c r="I27" s="67"/>
    </row>
    <row r="28" spans="1:9" ht="15" customHeight="1" x14ac:dyDescent="0.25">
      <c r="A28" s="194"/>
      <c r="B28" s="59" t="s">
        <v>448</v>
      </c>
      <c r="C28" s="102" t="s">
        <v>451</v>
      </c>
      <c r="D28" s="102" t="s">
        <v>12</v>
      </c>
      <c r="E28" s="102" t="s">
        <v>12</v>
      </c>
      <c r="F28" s="67">
        <v>0</v>
      </c>
      <c r="G28" s="67">
        <v>0</v>
      </c>
      <c r="H28" s="67">
        <v>0</v>
      </c>
      <c r="I28" s="67"/>
    </row>
    <row r="29" spans="1:9" ht="15.75" x14ac:dyDescent="0.25">
      <c r="A29" s="194" t="s">
        <v>114</v>
      </c>
      <c r="B29" s="58" t="s">
        <v>95</v>
      </c>
      <c r="C29" s="102">
        <v>26440</v>
      </c>
      <c r="D29" s="102" t="s">
        <v>12</v>
      </c>
      <c r="E29" s="102" t="s">
        <v>12</v>
      </c>
      <c r="F29" s="67"/>
      <c r="G29" s="67"/>
      <c r="H29" s="67"/>
      <c r="I29" s="67"/>
    </row>
    <row r="30" spans="1:9" ht="15.75" x14ac:dyDescent="0.25">
      <c r="A30" s="226" t="s">
        <v>96</v>
      </c>
      <c r="B30" s="58" t="s">
        <v>15</v>
      </c>
      <c r="C30" s="225">
        <v>26441</v>
      </c>
      <c r="D30" s="225" t="s">
        <v>12</v>
      </c>
      <c r="E30" s="218" t="s">
        <v>12</v>
      </c>
      <c r="F30" s="223"/>
      <c r="G30" s="223"/>
      <c r="H30" s="223"/>
      <c r="I30" s="223"/>
    </row>
    <row r="31" spans="1:9" ht="15.75" customHeight="1" x14ac:dyDescent="0.25">
      <c r="A31" s="226"/>
      <c r="B31" s="59" t="s">
        <v>84</v>
      </c>
      <c r="C31" s="225"/>
      <c r="D31" s="225"/>
      <c r="E31" s="219"/>
      <c r="F31" s="224"/>
      <c r="G31" s="224"/>
      <c r="H31" s="224"/>
      <c r="I31" s="224"/>
    </row>
    <row r="32" spans="1:9" ht="15.75" x14ac:dyDescent="0.25">
      <c r="A32" s="194" t="s">
        <v>97</v>
      </c>
      <c r="B32" s="59" t="s">
        <v>98</v>
      </c>
      <c r="C32" s="102">
        <v>26442</v>
      </c>
      <c r="D32" s="102" t="s">
        <v>12</v>
      </c>
      <c r="E32" s="102" t="s">
        <v>12</v>
      </c>
      <c r="F32" s="67"/>
      <c r="G32" s="67"/>
      <c r="H32" s="67"/>
      <c r="I32" s="67"/>
    </row>
    <row r="33" spans="1:9" ht="15.75" x14ac:dyDescent="0.25">
      <c r="A33" s="194" t="s">
        <v>115</v>
      </c>
      <c r="B33" s="58" t="s">
        <v>99</v>
      </c>
      <c r="C33" s="102">
        <v>26450</v>
      </c>
      <c r="D33" s="102" t="s">
        <v>12</v>
      </c>
      <c r="E33" s="102" t="s">
        <v>12</v>
      </c>
      <c r="F33" s="68">
        <f>F34+F37</f>
        <v>4450807.0599999996</v>
      </c>
      <c r="G33" s="68">
        <f>G34+G37</f>
        <v>3851009</v>
      </c>
      <c r="H33" s="68">
        <f>H34+H37</f>
        <v>3851009</v>
      </c>
      <c r="I33" s="67"/>
    </row>
    <row r="34" spans="1:9" ht="15.75" x14ac:dyDescent="0.25">
      <c r="A34" s="226" t="s">
        <v>100</v>
      </c>
      <c r="B34" s="58" t="s">
        <v>15</v>
      </c>
      <c r="C34" s="225">
        <v>26451</v>
      </c>
      <c r="D34" s="225" t="s">
        <v>12</v>
      </c>
      <c r="E34" s="218" t="s">
        <v>12</v>
      </c>
      <c r="F34" s="223">
        <v>0</v>
      </c>
      <c r="G34" s="223">
        <v>0</v>
      </c>
      <c r="H34" s="223">
        <v>0</v>
      </c>
      <c r="I34" s="223"/>
    </row>
    <row r="35" spans="1:9" ht="15.75" customHeight="1" x14ac:dyDescent="0.25">
      <c r="A35" s="226"/>
      <c r="B35" s="59" t="s">
        <v>84</v>
      </c>
      <c r="C35" s="225"/>
      <c r="D35" s="225"/>
      <c r="E35" s="219"/>
      <c r="F35" s="224"/>
      <c r="G35" s="224"/>
      <c r="H35" s="224"/>
      <c r="I35" s="224"/>
    </row>
    <row r="36" spans="1:9" ht="15" customHeight="1" x14ac:dyDescent="0.25">
      <c r="A36" s="194"/>
      <c r="B36" s="59" t="s">
        <v>448</v>
      </c>
      <c r="C36" s="102" t="s">
        <v>452</v>
      </c>
      <c r="D36" s="102" t="s">
        <v>12</v>
      </c>
      <c r="E36" s="102" t="s">
        <v>12</v>
      </c>
      <c r="F36" s="67">
        <v>0</v>
      </c>
      <c r="G36" s="67">
        <v>0</v>
      </c>
      <c r="H36" s="67">
        <v>0</v>
      </c>
      <c r="I36" s="67"/>
    </row>
    <row r="37" spans="1:9" ht="15.75" x14ac:dyDescent="0.25">
      <c r="A37" s="194" t="s">
        <v>101</v>
      </c>
      <c r="B37" s="59" t="s">
        <v>98</v>
      </c>
      <c r="C37" s="102">
        <v>26452</v>
      </c>
      <c r="D37" s="102" t="s">
        <v>12</v>
      </c>
      <c r="E37" s="102" t="s">
        <v>12</v>
      </c>
      <c r="F37" s="67">
        <f>'3.13.1'!L13+'3.13.1'!M13+'3.13.1'!N13+'3.13.1'!O13</f>
        <v>4450807.0599999996</v>
      </c>
      <c r="G37" s="67">
        <f>'3.13.1'!L37+'3.13.1'!M37+'3.13.1'!N37+'3.13.1'!O37</f>
        <v>3851009</v>
      </c>
      <c r="H37" s="67">
        <f>'3.13.1'!L61+'3.13.1'!M61+'3.13.1'!N61+'3.13.1'!O61</f>
        <v>3851009</v>
      </c>
      <c r="I37" s="67"/>
    </row>
    <row r="38" spans="1:9" ht="63" x14ac:dyDescent="0.25">
      <c r="A38" s="194">
        <v>2</v>
      </c>
      <c r="B38" s="58" t="s">
        <v>102</v>
      </c>
      <c r="C38" s="102">
        <v>26500</v>
      </c>
      <c r="D38" s="102" t="s">
        <v>12</v>
      </c>
      <c r="E38" s="102" t="s">
        <v>12</v>
      </c>
      <c r="F38" s="67"/>
      <c r="G38" s="67"/>
      <c r="H38" s="67"/>
      <c r="I38" s="67"/>
    </row>
    <row r="39" spans="1:9" ht="15.75" x14ac:dyDescent="0.25">
      <c r="A39" s="194"/>
      <c r="B39" s="58" t="s">
        <v>103</v>
      </c>
      <c r="C39" s="102">
        <v>26510</v>
      </c>
      <c r="D39" s="58"/>
      <c r="E39" s="102"/>
      <c r="F39" s="67"/>
      <c r="G39" s="67"/>
      <c r="H39" s="67"/>
      <c r="I39" s="67"/>
    </row>
    <row r="40" spans="1:9" ht="60" x14ac:dyDescent="0.25">
      <c r="A40" s="194">
        <v>3</v>
      </c>
      <c r="B40" s="59" t="s">
        <v>104</v>
      </c>
      <c r="C40" s="102">
        <v>26600</v>
      </c>
      <c r="D40" s="102" t="s">
        <v>12</v>
      </c>
      <c r="E40" s="102" t="s">
        <v>12</v>
      </c>
      <c r="F40" s="67">
        <f>F41</f>
        <v>5134451.6899999985</v>
      </c>
      <c r="G40" s="67">
        <f>G41</f>
        <v>10851440</v>
      </c>
      <c r="H40" s="67">
        <f>H41</f>
        <v>10851440</v>
      </c>
      <c r="I40" s="67"/>
    </row>
    <row r="41" spans="1:9" ht="15.75" x14ac:dyDescent="0.25">
      <c r="A41" s="194"/>
      <c r="B41" s="58" t="s">
        <v>103</v>
      </c>
      <c r="C41" s="102">
        <v>26610</v>
      </c>
      <c r="D41" s="58"/>
      <c r="E41" s="102"/>
      <c r="F41" s="67">
        <f>F16</f>
        <v>5134451.6899999985</v>
      </c>
      <c r="G41" s="67">
        <f>G16</f>
        <v>10851440</v>
      </c>
      <c r="H41" s="67">
        <f>H16</f>
        <v>10851440</v>
      </c>
      <c r="I41" s="67"/>
    </row>
    <row r="44" spans="1:9" ht="16.5" x14ac:dyDescent="0.25">
      <c r="A44" s="195" t="s">
        <v>418</v>
      </c>
      <c r="B44" s="196"/>
      <c r="C44" s="196"/>
      <c r="D44" s="196"/>
      <c r="E44" s="196"/>
      <c r="F44" s="196"/>
      <c r="G44" s="196"/>
    </row>
    <row r="45" spans="1:9" x14ac:dyDescent="0.25">
      <c r="A45" s="197" t="s">
        <v>319</v>
      </c>
      <c r="B45" s="196"/>
      <c r="C45" s="196"/>
      <c r="D45" s="196"/>
      <c r="E45" s="196"/>
      <c r="F45" s="196"/>
      <c r="G45" s="197"/>
    </row>
    <row r="46" spans="1:9" ht="16.5" x14ac:dyDescent="0.25">
      <c r="A46" s="195"/>
      <c r="B46" s="196"/>
      <c r="C46" s="196"/>
      <c r="D46" s="196"/>
      <c r="E46" s="196"/>
      <c r="F46" s="196"/>
      <c r="G46" s="196"/>
    </row>
    <row r="47" spans="1:9" ht="16.5" x14ac:dyDescent="0.25">
      <c r="A47" s="195" t="s">
        <v>419</v>
      </c>
      <c r="B47" s="196"/>
      <c r="C47" s="196"/>
      <c r="D47" s="196"/>
      <c r="E47" s="196"/>
      <c r="F47" s="196"/>
      <c r="G47" s="196"/>
    </row>
    <row r="48" spans="1:9" x14ac:dyDescent="0.25">
      <c r="A48" s="197" t="s">
        <v>320</v>
      </c>
      <c r="B48" s="196"/>
      <c r="C48" s="196"/>
      <c r="D48" s="196"/>
      <c r="E48" s="196"/>
      <c r="F48" s="196"/>
      <c r="G48" s="197"/>
    </row>
    <row r="49" spans="1:7" ht="16.5" x14ac:dyDescent="0.25">
      <c r="A49" s="195"/>
      <c r="B49" s="196"/>
      <c r="C49" s="196"/>
      <c r="D49" s="196"/>
      <c r="E49" s="196"/>
      <c r="F49" s="196"/>
      <c r="G49" s="196"/>
    </row>
    <row r="50" spans="1:7" ht="16.5" x14ac:dyDescent="0.25">
      <c r="A50" s="195" t="s">
        <v>420</v>
      </c>
      <c r="B50" s="196"/>
      <c r="C50" s="196"/>
      <c r="D50" s="196"/>
      <c r="E50" s="196"/>
      <c r="F50" s="196"/>
      <c r="G50" s="196"/>
    </row>
    <row r="51" spans="1:7" x14ac:dyDescent="0.25">
      <c r="A51" s="197"/>
      <c r="B51" s="196"/>
      <c r="C51" s="196"/>
      <c r="D51" s="196"/>
      <c r="E51" s="196"/>
      <c r="F51" s="196"/>
      <c r="G51" s="196"/>
    </row>
    <row r="52" spans="1:7" ht="16.5" x14ac:dyDescent="0.25">
      <c r="A52" s="195"/>
      <c r="B52" s="196"/>
      <c r="C52" s="196"/>
      <c r="D52" s="196"/>
      <c r="E52" s="196"/>
      <c r="F52" s="196"/>
      <c r="G52" s="196"/>
    </row>
    <row r="53" spans="1:7" ht="16.5" x14ac:dyDescent="0.25">
      <c r="A53" s="195" t="s">
        <v>421</v>
      </c>
      <c r="B53" s="196"/>
      <c r="C53" s="196"/>
      <c r="D53" s="196"/>
      <c r="E53" s="196"/>
      <c r="F53" s="196"/>
      <c r="G53" s="196"/>
    </row>
    <row r="54" spans="1:7" ht="27" customHeight="1" x14ac:dyDescent="0.25">
      <c r="A54" s="195" t="s">
        <v>422</v>
      </c>
      <c r="B54" s="196"/>
      <c r="C54" s="196"/>
      <c r="D54" s="196"/>
      <c r="E54" s="196"/>
      <c r="F54" s="196"/>
      <c r="G54" s="196"/>
    </row>
    <row r="55" spans="1:7" ht="16.5" x14ac:dyDescent="0.25">
      <c r="A55" s="195"/>
      <c r="B55" s="196"/>
      <c r="C55" s="196"/>
      <c r="D55" s="196"/>
      <c r="E55" s="196"/>
      <c r="F55" s="196"/>
      <c r="G55" s="196"/>
    </row>
    <row r="56" spans="1:7" ht="16.5" x14ac:dyDescent="0.25">
      <c r="A56" s="195" t="s">
        <v>321</v>
      </c>
      <c r="B56" s="196"/>
      <c r="C56" s="196"/>
      <c r="D56" s="196"/>
      <c r="E56" s="196"/>
      <c r="F56" s="196"/>
      <c r="G56" s="196"/>
    </row>
    <row r="57" spans="1:7" ht="16.5" x14ac:dyDescent="0.25">
      <c r="A57" s="198" t="s">
        <v>433</v>
      </c>
      <c r="B57" s="196"/>
      <c r="C57" s="196"/>
      <c r="D57" s="196"/>
      <c r="E57" s="196"/>
      <c r="F57" s="196"/>
      <c r="G57" s="196"/>
    </row>
    <row r="58" spans="1:7" x14ac:dyDescent="0.25">
      <c r="A58" s="197" t="s">
        <v>423</v>
      </c>
      <c r="B58" s="196"/>
      <c r="C58" s="196"/>
      <c r="D58" s="196"/>
      <c r="E58" s="196"/>
      <c r="F58" s="196"/>
      <c r="G58" s="196"/>
    </row>
    <row r="59" spans="1:7" ht="16.5" x14ac:dyDescent="0.25">
      <c r="A59" s="195" t="s">
        <v>432</v>
      </c>
      <c r="B59" s="196"/>
      <c r="C59" s="196"/>
      <c r="D59" s="196"/>
      <c r="E59" s="196"/>
      <c r="F59" s="196"/>
      <c r="G59" s="196"/>
    </row>
    <row r="60" spans="1:7" x14ac:dyDescent="0.25">
      <c r="A60" s="197" t="s">
        <v>322</v>
      </c>
      <c r="B60" s="196"/>
      <c r="C60" s="196"/>
      <c r="D60" s="196"/>
      <c r="E60" s="196"/>
      <c r="F60" s="196"/>
      <c r="G60" s="196"/>
    </row>
    <row r="61" spans="1:7" ht="41.25" customHeight="1" x14ac:dyDescent="0.25">
      <c r="A61" s="195" t="s">
        <v>424</v>
      </c>
      <c r="B61" s="196"/>
      <c r="C61" s="196"/>
      <c r="D61" s="196"/>
      <c r="E61" s="196"/>
      <c r="F61" s="196"/>
      <c r="G61" s="196"/>
    </row>
  </sheetData>
  <mergeCells count="72">
    <mergeCell ref="A1:C1"/>
    <mergeCell ref="A34:A35"/>
    <mergeCell ref="C34:C35"/>
    <mergeCell ref="D34:D35"/>
    <mergeCell ref="A30:A31"/>
    <mergeCell ref="C30:C31"/>
    <mergeCell ref="D30:D31"/>
    <mergeCell ref="A23:A24"/>
    <mergeCell ref="C23:C24"/>
    <mergeCell ref="D23:D24"/>
    <mergeCell ref="E23:E24"/>
    <mergeCell ref="C19:C20"/>
    <mergeCell ref="D19:D20"/>
    <mergeCell ref="F19:F20"/>
    <mergeCell ref="G19:G20"/>
    <mergeCell ref="H19:H20"/>
    <mergeCell ref="E19:E20"/>
    <mergeCell ref="H14:H15"/>
    <mergeCell ref="E14:E15"/>
    <mergeCell ref="E17:E18"/>
    <mergeCell ref="H23:H24"/>
    <mergeCell ref="I23:I24"/>
    <mergeCell ref="H30:H31"/>
    <mergeCell ref="G30:G31"/>
    <mergeCell ref="F30:F31"/>
    <mergeCell ref="F23:F24"/>
    <mergeCell ref="G23:G24"/>
    <mergeCell ref="I14:I15"/>
    <mergeCell ref="A17:A18"/>
    <mergeCell ref="C17:C18"/>
    <mergeCell ref="D17:D18"/>
    <mergeCell ref="F17:F18"/>
    <mergeCell ref="G17:G18"/>
    <mergeCell ref="H17:H18"/>
    <mergeCell ref="I17:I18"/>
    <mergeCell ref="A14:A15"/>
    <mergeCell ref="C14:C15"/>
    <mergeCell ref="D14:D15"/>
    <mergeCell ref="F14:F15"/>
    <mergeCell ref="G14:G15"/>
    <mergeCell ref="E30:E31"/>
    <mergeCell ref="E34:E35"/>
    <mergeCell ref="A2:A4"/>
    <mergeCell ref="B2:B4"/>
    <mergeCell ref="C2:C4"/>
    <mergeCell ref="A11:A12"/>
    <mergeCell ref="C11:C12"/>
    <mergeCell ref="A7:A8"/>
    <mergeCell ref="C7:C8"/>
    <mergeCell ref="E11:E12"/>
    <mergeCell ref="D2:D4"/>
    <mergeCell ref="E2:E4"/>
    <mergeCell ref="D7:D8"/>
    <mergeCell ref="E7:E8"/>
    <mergeCell ref="D11:D12"/>
    <mergeCell ref="A19:A20"/>
    <mergeCell ref="I3:I4"/>
    <mergeCell ref="F2:I2"/>
    <mergeCell ref="I34:I35"/>
    <mergeCell ref="H34:H35"/>
    <mergeCell ref="G34:G35"/>
    <mergeCell ref="F34:F35"/>
    <mergeCell ref="I30:I31"/>
    <mergeCell ref="H7:H8"/>
    <mergeCell ref="G7:G8"/>
    <mergeCell ref="F7:F8"/>
    <mergeCell ref="I7:I8"/>
    <mergeCell ref="F11:F12"/>
    <mergeCell ref="G11:G12"/>
    <mergeCell ref="H11:H12"/>
    <mergeCell ref="I11:I12"/>
    <mergeCell ref="I19:I20"/>
  </mergeCells>
  <hyperlinks>
    <hyperlink ref="B6" location="Par1331" tooltip="&lt;10&gt; Плановые показатели выплат на закупку товаров, работ, услуг по строке 26000 раздела 2 &quot;Сведения по выплатам на закупку товаров, работ, услуг&quot; Плана распределяются на выплаты по контрактам (договорам), заключенным (планируемым к заключению) в соответс" display="Par1331"/>
    <hyperlink ref="B12" r:id="rId1" tooltip="Федеральный закон от 05.04.2013 N 44-ФЗ (ред. от 27.06.2019) &quot;О контрактной системе в сфере закупок товаров, работ, услуг для обеспечения государственных и муниципальных нужд&quot; (с изм. и доп., вступ. в силу с 31.07.2019){КонсультантПлюс}" display="consultantplus://offline/ref=A700257297D7A859C030468B937B2DBD85E5EB9C656B2AC230D6E9DC28482863625EFFB5D1534D768A4F99306AV1B3I"/>
    <hyperlink ref="B20" r:id="rId2" tooltip="Федеральный закон от 05.04.2013 N 44-ФЗ (ред. от 27.06.2019) &quot;О контрактной системе в сфере закупок товаров, работ, услуг для обеспечения государственных и муниципальных нужд&quot; (с изм. и доп., вступ. в силу с 31.07.2019){КонсультантПлюс}" display="consultantplus://offline/ref=A700257297D7A859C030468B937B2DBD85E5EB9C656B2AC230D6E9DC28482863625EFFB5D1534D768A4F99306AV1B3I"/>
    <hyperlink ref="B22" r:id="rId3" tooltip="&quot;Бюджетный кодекс Российской Федерации&quot; от 31.07.1998 N 145-ФЗ (ред. от 02.08.2019) (с изм. и доп., вступ. в силу с 01.09.2019){КонсультантПлюс}" display="consultantplus://offline/ref=A700257297D7A859C030468B937B2DBD85E4EF9A61612AC230D6E9DC28482863705EA7BBD15F557DD700DF65661BC70C92EDF194103DVEB9I"/>
    <hyperlink ref="B24" r:id="rId4" tooltip="Федеральный закон от 05.04.2013 N 44-ФЗ (ред. от 27.06.2019) &quot;О контрактной системе в сфере закупок товаров, работ, услуг для обеспечения государственных и муниципальных нужд&quot; (с изм. и доп., вступ. в силу с 31.07.2019){КонсультантПлюс}" display="consultantplus://offline/ref=A700257297D7A859C030468B937B2DBD85E5EB9C656B2AC230D6E9DC28482863625EFFB5D1534D768A4F99306AV1B3I"/>
    <hyperlink ref="B27" location="Par1335" tooltip="&lt;14&gt; Указывается сумма закупок товаров, работ, услуг, осуществляемых в соответствии с Федеральным законом N 44-ФЗ." display="Par1335"/>
    <hyperlink ref="B31" r:id="rId5" tooltip="Федеральный закон от 05.04.2013 N 44-ФЗ (ред. от 27.06.2019) &quot;О контрактной системе в сфере закупок товаров, работ, услуг для обеспечения государственных и муниципальных нужд&quot; (с изм. и доп., вступ. в силу с 31.07.2019){КонсультантПлюс}" display="consultantplus://offline/ref=A700257297D7A859C030468B937B2DBD85E5EB9C656B2AC230D6E9DC28482863625EFFB5D1534D768A4F99306AV1B3I"/>
    <hyperlink ref="B32" r:id="rId6" tooltip="Федеральный закон от 18.07.2011 N 223-ФЗ (ред. от 01.05.2019) &quot;О закупках товаров, работ, услуг отдельными видами юридических лиц&quot;{КонсультантПлюс}" display="consultantplus://offline/ref=A700257297D7A859C030468B937B2DBD85E5EB9E60602AC230D6E9DC28482863625EFFB5D1534D768A4F99306AV1B3I"/>
    <hyperlink ref="B35" r:id="rId7" tooltip="Федеральный закон от 05.04.2013 N 44-ФЗ (ред. от 27.06.2019) &quot;О контрактной системе в сфере закупок товаров, работ, услуг для обеспечения государственных и муниципальных нужд&quot; (с изм. и доп., вступ. в силу с 31.07.2019){КонсультантПлюс}" display="consultantplus://offline/ref=A700257297D7A859C030468B937B2DBD85E5EB9C656B2AC230D6E9DC28482863625EFFB5D1534D768A4F99306AV1B3I"/>
    <hyperlink ref="B37" r:id="rId8" tooltip="Федеральный закон от 18.07.2011 N 223-ФЗ (ред. от 01.05.2019) &quot;О закупках товаров, работ, услуг отдельными видами юридических лиц&quot;{КонсультантПлюс}" display="consultantplus://offline/ref=A700257297D7A859C030468B937B2DBD85E5EB9E60602AC230D6E9DC28482863625EFFB5D1534D768A4F99306AV1B3I"/>
    <hyperlink ref="B40" r:id="rId9" tooltip="Федеральный закон от 18.07.2011 N 223-ФЗ (ред. от 01.05.2019) &quot;О закупках товаров, работ, услуг отдельными видами юридических лиц&quot;{КонсультантПлюс}" display="consultantplus://offline/ref=A700257297D7A859C030468B937B2DBD85E5EB9E60602AC230D6E9DC28482863625EFFB5D1534D768A4F99306AV1B3I"/>
  </hyperlinks>
  <pageMargins left="0.78740157480314965" right="0.39370078740157483" top="0.39370078740157483" bottom="0.39370078740157483" header="0.31496062992125984" footer="0.31496062992125984"/>
  <pageSetup paperSize="9" scale="74" fitToHeight="2" orientation="landscape" r:id="rId10"/>
  <legacyDrawing r:id="rId1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view="pageBreakPreview" zoomScaleNormal="100" zoomScaleSheetLayoutView="100" workbookViewId="0">
      <selection activeCell="L15" sqref="L15"/>
    </sheetView>
  </sheetViews>
  <sheetFormatPr defaultColWidth="9.140625" defaultRowHeight="12.75" x14ac:dyDescent="0.2"/>
  <cols>
    <col min="1" max="1" width="21.42578125" style="2" customWidth="1"/>
    <col min="2" max="2" width="9.140625" style="2"/>
    <col min="3" max="14" width="14" style="2" customWidth="1"/>
    <col min="15" max="16384" width="9.140625" style="2"/>
  </cols>
  <sheetData>
    <row r="1" spans="1:14" x14ac:dyDescent="0.2">
      <c r="A1" s="2" t="s">
        <v>225</v>
      </c>
    </row>
    <row r="2" spans="1:14" x14ac:dyDescent="0.2">
      <c r="A2" s="20"/>
    </row>
    <row r="3" spans="1:14" x14ac:dyDescent="0.2">
      <c r="A3" s="2" t="s">
        <v>226</v>
      </c>
    </row>
    <row r="4" spans="1:14" ht="30" customHeight="1" x14ac:dyDescent="0.2">
      <c r="A4" s="2" t="s">
        <v>287</v>
      </c>
    </row>
    <row r="5" spans="1:14" ht="49.5" customHeight="1" x14ac:dyDescent="0.2">
      <c r="A5" s="231" t="s">
        <v>221</v>
      </c>
      <c r="B5" s="231" t="s">
        <v>1</v>
      </c>
      <c r="C5" s="231" t="s">
        <v>222</v>
      </c>
      <c r="D5" s="231"/>
      <c r="E5" s="231"/>
      <c r="F5" s="231" t="s">
        <v>223</v>
      </c>
      <c r="G5" s="231"/>
      <c r="H5" s="231"/>
      <c r="I5" s="231" t="s">
        <v>224</v>
      </c>
      <c r="J5" s="231"/>
      <c r="K5" s="231"/>
      <c r="L5" s="231" t="s">
        <v>116</v>
      </c>
      <c r="M5" s="231"/>
      <c r="N5" s="231"/>
    </row>
    <row r="6" spans="1:14" x14ac:dyDescent="0.2">
      <c r="A6" s="231"/>
      <c r="B6" s="231"/>
      <c r="C6" s="28" t="s">
        <v>330</v>
      </c>
      <c r="D6" s="28" t="s">
        <v>411</v>
      </c>
      <c r="E6" s="28" t="s">
        <v>353</v>
      </c>
      <c r="F6" s="28" t="s">
        <v>330</v>
      </c>
      <c r="G6" s="28" t="s">
        <v>411</v>
      </c>
      <c r="H6" s="28" t="s">
        <v>353</v>
      </c>
      <c r="I6" s="28" t="s">
        <v>330</v>
      </c>
      <c r="J6" s="28" t="s">
        <v>411</v>
      </c>
      <c r="K6" s="28" t="s">
        <v>353</v>
      </c>
      <c r="L6" s="28" t="s">
        <v>330</v>
      </c>
      <c r="M6" s="28" t="s">
        <v>411</v>
      </c>
      <c r="N6" s="28" t="s">
        <v>353</v>
      </c>
    </row>
    <row r="7" spans="1:14" ht="38.25" x14ac:dyDescent="0.2">
      <c r="A7" s="231"/>
      <c r="B7" s="231"/>
      <c r="C7" s="28" t="s">
        <v>79</v>
      </c>
      <c r="D7" s="28" t="s">
        <v>80</v>
      </c>
      <c r="E7" s="28" t="s">
        <v>81</v>
      </c>
      <c r="F7" s="28" t="s">
        <v>79</v>
      </c>
      <c r="G7" s="28" t="s">
        <v>80</v>
      </c>
      <c r="H7" s="28" t="s">
        <v>81</v>
      </c>
      <c r="I7" s="28" t="s">
        <v>79</v>
      </c>
      <c r="J7" s="28" t="s">
        <v>80</v>
      </c>
      <c r="K7" s="28" t="s">
        <v>81</v>
      </c>
      <c r="L7" s="28" t="s">
        <v>79</v>
      </c>
      <c r="M7" s="28" t="s">
        <v>80</v>
      </c>
      <c r="N7" s="28" t="s">
        <v>81</v>
      </c>
    </row>
    <row r="8" spans="1:14" x14ac:dyDescent="0.2">
      <c r="A8" s="28">
        <v>1</v>
      </c>
      <c r="B8" s="28">
        <v>2</v>
      </c>
      <c r="C8" s="28">
        <v>3</v>
      </c>
      <c r="D8" s="28">
        <v>4</v>
      </c>
      <c r="E8" s="28">
        <v>5</v>
      </c>
      <c r="F8" s="28">
        <v>6</v>
      </c>
      <c r="G8" s="28">
        <v>7</v>
      </c>
      <c r="H8" s="28">
        <v>8</v>
      </c>
      <c r="I8" s="28">
        <v>9</v>
      </c>
      <c r="J8" s="28">
        <v>10</v>
      </c>
      <c r="K8" s="28">
        <v>11</v>
      </c>
      <c r="L8" s="28">
        <v>12</v>
      </c>
      <c r="M8" s="28">
        <v>13</v>
      </c>
      <c r="N8" s="28">
        <v>14</v>
      </c>
    </row>
    <row r="9" spans="1:14" ht="102" x14ac:dyDescent="0.2">
      <c r="A9" s="22" t="s">
        <v>412</v>
      </c>
      <c r="B9" s="37">
        <v>1</v>
      </c>
      <c r="C9" s="26"/>
      <c r="D9" s="26"/>
      <c r="E9" s="26"/>
      <c r="F9" s="22"/>
      <c r="G9" s="22"/>
      <c r="H9" s="22"/>
      <c r="I9" s="22"/>
      <c r="J9" s="22"/>
      <c r="K9" s="22"/>
      <c r="L9" s="27"/>
      <c r="M9" s="27"/>
      <c r="N9" s="27"/>
    </row>
    <row r="10" spans="1:14" x14ac:dyDescent="0.2">
      <c r="A10" s="29" t="s">
        <v>136</v>
      </c>
      <c r="B10" s="28">
        <v>9000</v>
      </c>
      <c r="C10" s="38" t="s">
        <v>12</v>
      </c>
      <c r="D10" s="38" t="s">
        <v>12</v>
      </c>
      <c r="E10" s="38" t="s">
        <v>12</v>
      </c>
      <c r="F10" s="28" t="s">
        <v>12</v>
      </c>
      <c r="G10" s="28" t="s">
        <v>12</v>
      </c>
      <c r="H10" s="28" t="s">
        <v>12</v>
      </c>
      <c r="I10" s="28" t="s">
        <v>12</v>
      </c>
      <c r="J10" s="28" t="s">
        <v>12</v>
      </c>
      <c r="K10" s="28" t="s">
        <v>12</v>
      </c>
      <c r="L10" s="43">
        <f>SUM(L9)</f>
        <v>0</v>
      </c>
      <c r="M10" s="43">
        <f>SUM(M9)</f>
        <v>0</v>
      </c>
      <c r="N10" s="43">
        <f>SUM(N9)</f>
        <v>0</v>
      </c>
    </row>
    <row r="11" spans="1:14" x14ac:dyDescent="0.2">
      <c r="C11" s="39"/>
      <c r="D11" s="39"/>
      <c r="E11" s="39"/>
    </row>
    <row r="12" spans="1:14" x14ac:dyDescent="0.2">
      <c r="A12" s="2" t="s">
        <v>318</v>
      </c>
      <c r="C12" s="39"/>
      <c r="D12" s="39"/>
      <c r="E12" s="39"/>
    </row>
    <row r="13" spans="1:14" x14ac:dyDescent="0.2">
      <c r="A13" s="231" t="s">
        <v>221</v>
      </c>
      <c r="B13" s="231" t="s">
        <v>1</v>
      </c>
      <c r="C13" s="254" t="s">
        <v>222</v>
      </c>
      <c r="D13" s="254"/>
      <c r="E13" s="254"/>
      <c r="F13" s="231" t="s">
        <v>223</v>
      </c>
      <c r="G13" s="231"/>
      <c r="H13" s="231"/>
      <c r="I13" s="231" t="s">
        <v>224</v>
      </c>
      <c r="J13" s="231"/>
      <c r="K13" s="231"/>
      <c r="L13" s="231" t="s">
        <v>116</v>
      </c>
      <c r="M13" s="231"/>
      <c r="N13" s="231"/>
    </row>
    <row r="14" spans="1:14" x14ac:dyDescent="0.2">
      <c r="A14" s="231"/>
      <c r="B14" s="231"/>
      <c r="C14" s="38" t="s">
        <v>330</v>
      </c>
      <c r="D14" s="38" t="s">
        <v>411</v>
      </c>
      <c r="E14" s="38" t="s">
        <v>353</v>
      </c>
      <c r="F14" s="28" t="s">
        <v>330</v>
      </c>
      <c r="G14" s="28" t="s">
        <v>411</v>
      </c>
      <c r="H14" s="28" t="s">
        <v>353</v>
      </c>
      <c r="I14" s="28" t="s">
        <v>330</v>
      </c>
      <c r="J14" s="28" t="s">
        <v>411</v>
      </c>
      <c r="K14" s="28" t="s">
        <v>353</v>
      </c>
      <c r="L14" s="28" t="s">
        <v>330</v>
      </c>
      <c r="M14" s="28" t="s">
        <v>411</v>
      </c>
      <c r="N14" s="28" t="s">
        <v>353</v>
      </c>
    </row>
    <row r="15" spans="1:14" ht="38.25" x14ac:dyDescent="0.2">
      <c r="A15" s="231"/>
      <c r="B15" s="231"/>
      <c r="C15" s="38" t="s">
        <v>79</v>
      </c>
      <c r="D15" s="38" t="s">
        <v>80</v>
      </c>
      <c r="E15" s="38" t="s">
        <v>81</v>
      </c>
      <c r="F15" s="28" t="s">
        <v>79</v>
      </c>
      <c r="G15" s="28" t="s">
        <v>80</v>
      </c>
      <c r="H15" s="28" t="s">
        <v>81</v>
      </c>
      <c r="I15" s="28" t="s">
        <v>79</v>
      </c>
      <c r="J15" s="28" t="s">
        <v>80</v>
      </c>
      <c r="K15" s="28" t="s">
        <v>81</v>
      </c>
      <c r="L15" s="28" t="s">
        <v>79</v>
      </c>
      <c r="M15" s="28" t="s">
        <v>80</v>
      </c>
      <c r="N15" s="28" t="s">
        <v>81</v>
      </c>
    </row>
    <row r="16" spans="1:14" x14ac:dyDescent="0.2">
      <c r="A16" s="28">
        <v>1</v>
      </c>
      <c r="B16" s="28">
        <v>2</v>
      </c>
      <c r="C16" s="38">
        <v>3</v>
      </c>
      <c r="D16" s="38">
        <v>4</v>
      </c>
      <c r="E16" s="38">
        <v>5</v>
      </c>
      <c r="F16" s="28">
        <v>6</v>
      </c>
      <c r="G16" s="28">
        <v>7</v>
      </c>
      <c r="H16" s="28">
        <v>8</v>
      </c>
      <c r="I16" s="28">
        <v>9</v>
      </c>
      <c r="J16" s="28">
        <v>10</v>
      </c>
      <c r="K16" s="28">
        <v>11</v>
      </c>
      <c r="L16" s="28">
        <v>12</v>
      </c>
      <c r="M16" s="28">
        <v>13</v>
      </c>
      <c r="N16" s="28">
        <v>14</v>
      </c>
    </row>
    <row r="17" spans="1:14" ht="102" x14ac:dyDescent="0.2">
      <c r="A17" s="22" t="s">
        <v>412</v>
      </c>
      <c r="B17" s="37"/>
      <c r="C17" s="26"/>
      <c r="D17" s="26"/>
      <c r="E17" s="26"/>
      <c r="F17" s="22"/>
      <c r="G17" s="22"/>
      <c r="H17" s="22"/>
      <c r="I17" s="22"/>
      <c r="J17" s="22"/>
      <c r="K17" s="22"/>
      <c r="L17" s="36"/>
      <c r="M17" s="36"/>
      <c r="N17" s="36"/>
    </row>
    <row r="18" spans="1:14" x14ac:dyDescent="0.2">
      <c r="A18" s="29" t="s">
        <v>136</v>
      </c>
      <c r="B18" s="28">
        <v>9000</v>
      </c>
      <c r="C18" s="28" t="s">
        <v>12</v>
      </c>
      <c r="D18" s="28" t="s">
        <v>12</v>
      </c>
      <c r="E18" s="28" t="s">
        <v>12</v>
      </c>
      <c r="F18" s="28" t="s">
        <v>12</v>
      </c>
      <c r="G18" s="28" t="s">
        <v>12</v>
      </c>
      <c r="H18" s="28" t="s">
        <v>12</v>
      </c>
      <c r="I18" s="28" t="s">
        <v>12</v>
      </c>
      <c r="J18" s="28" t="s">
        <v>12</v>
      </c>
      <c r="K18" s="28" t="s">
        <v>12</v>
      </c>
      <c r="L18" s="44">
        <f>SUM(L17)</f>
        <v>0</v>
      </c>
      <c r="M18" s="44">
        <f>SUM(M17)</f>
        <v>0</v>
      </c>
      <c r="N18" s="44">
        <f>SUM(N17)</f>
        <v>0</v>
      </c>
    </row>
  </sheetData>
  <mergeCells count="12">
    <mergeCell ref="L13:N13"/>
    <mergeCell ref="A13:A15"/>
    <mergeCell ref="B13:B15"/>
    <mergeCell ref="C13:E13"/>
    <mergeCell ref="F13:H13"/>
    <mergeCell ref="I13:K13"/>
    <mergeCell ref="L5:N5"/>
    <mergeCell ref="A5:A7"/>
    <mergeCell ref="B5:B7"/>
    <mergeCell ref="C5:E5"/>
    <mergeCell ref="F5:H5"/>
    <mergeCell ref="I5:K5"/>
  </mergeCells>
  <pageMargins left="0.7" right="0.7" top="0.75" bottom="0.75" header="0.3" footer="0.3"/>
  <pageSetup paperSize="9" scale="66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"/>
  <sheetViews>
    <sheetView view="pageBreakPreview" zoomScaleNormal="100" zoomScaleSheetLayoutView="100" workbookViewId="0">
      <selection activeCell="G9" sqref="G9"/>
    </sheetView>
  </sheetViews>
  <sheetFormatPr defaultColWidth="9.140625" defaultRowHeight="12.75" x14ac:dyDescent="0.2"/>
  <cols>
    <col min="1" max="1" width="30.28515625" style="30" customWidth="1"/>
    <col min="2" max="2" width="9.140625" style="30"/>
    <col min="3" max="14" width="13.7109375" style="30" customWidth="1"/>
    <col min="15" max="16384" width="9.140625" style="30"/>
  </cols>
  <sheetData>
    <row r="1" spans="1:16" x14ac:dyDescent="0.2">
      <c r="A1" s="30" t="s">
        <v>550</v>
      </c>
    </row>
    <row r="2" spans="1:16" x14ac:dyDescent="0.2">
      <c r="A2" s="95" t="s">
        <v>465</v>
      </c>
    </row>
    <row r="3" spans="1:16" ht="49.5" customHeight="1" x14ac:dyDescent="0.2">
      <c r="A3" s="237" t="s">
        <v>221</v>
      </c>
      <c r="B3" s="237" t="s">
        <v>1</v>
      </c>
      <c r="C3" s="237" t="s">
        <v>227</v>
      </c>
      <c r="D3" s="237"/>
      <c r="E3" s="237"/>
      <c r="F3" s="237" t="s">
        <v>228</v>
      </c>
      <c r="G3" s="237"/>
      <c r="H3" s="237"/>
      <c r="I3" s="237" t="s">
        <v>229</v>
      </c>
      <c r="J3" s="237"/>
      <c r="K3" s="237"/>
      <c r="L3" s="237" t="s">
        <v>116</v>
      </c>
      <c r="M3" s="237"/>
      <c r="N3" s="237"/>
    </row>
    <row r="4" spans="1:16" x14ac:dyDescent="0.2">
      <c r="A4" s="237"/>
      <c r="B4" s="237"/>
      <c r="C4" s="71" t="s">
        <v>411</v>
      </c>
      <c r="D4" s="71" t="s">
        <v>410</v>
      </c>
      <c r="E4" s="71" t="s">
        <v>455</v>
      </c>
      <c r="F4" s="71" t="s">
        <v>411</v>
      </c>
      <c r="G4" s="71" t="s">
        <v>410</v>
      </c>
      <c r="H4" s="71" t="s">
        <v>455</v>
      </c>
      <c r="I4" s="71" t="s">
        <v>411</v>
      </c>
      <c r="J4" s="71" t="s">
        <v>410</v>
      </c>
      <c r="K4" s="71" t="s">
        <v>455</v>
      </c>
      <c r="L4" s="71" t="s">
        <v>411</v>
      </c>
      <c r="M4" s="71" t="s">
        <v>410</v>
      </c>
      <c r="N4" s="71" t="s">
        <v>455</v>
      </c>
    </row>
    <row r="5" spans="1:16" ht="38.25" x14ac:dyDescent="0.2">
      <c r="A5" s="237"/>
      <c r="B5" s="237"/>
      <c r="C5" s="71" t="s">
        <v>79</v>
      </c>
      <c r="D5" s="71" t="s">
        <v>80</v>
      </c>
      <c r="E5" s="71" t="s">
        <v>81</v>
      </c>
      <c r="F5" s="71" t="s">
        <v>79</v>
      </c>
      <c r="G5" s="71" t="s">
        <v>80</v>
      </c>
      <c r="H5" s="71" t="s">
        <v>81</v>
      </c>
      <c r="I5" s="71" t="s">
        <v>79</v>
      </c>
      <c r="J5" s="71" t="s">
        <v>80</v>
      </c>
      <c r="K5" s="71" t="s">
        <v>81</v>
      </c>
      <c r="L5" s="71" t="s">
        <v>79</v>
      </c>
      <c r="M5" s="71" t="s">
        <v>80</v>
      </c>
      <c r="N5" s="71" t="s">
        <v>81</v>
      </c>
    </row>
    <row r="6" spans="1:16" x14ac:dyDescent="0.2">
      <c r="A6" s="71">
        <v>1</v>
      </c>
      <c r="B6" s="71">
        <v>2</v>
      </c>
      <c r="C6" s="71">
        <v>3</v>
      </c>
      <c r="D6" s="71">
        <v>4</v>
      </c>
      <c r="E6" s="71">
        <v>5</v>
      </c>
      <c r="F6" s="71">
        <v>6</v>
      </c>
      <c r="G6" s="71">
        <v>7</v>
      </c>
      <c r="H6" s="71">
        <v>8</v>
      </c>
      <c r="I6" s="71">
        <v>9</v>
      </c>
      <c r="J6" s="71">
        <v>10</v>
      </c>
      <c r="K6" s="71">
        <v>11</v>
      </c>
      <c r="L6" s="71">
        <v>12</v>
      </c>
      <c r="M6" s="71">
        <v>13</v>
      </c>
      <c r="N6" s="71">
        <v>14</v>
      </c>
      <c r="O6" s="53" t="s">
        <v>434</v>
      </c>
      <c r="P6" s="53" t="s">
        <v>435</v>
      </c>
    </row>
    <row r="7" spans="1:16" ht="51" x14ac:dyDescent="0.2">
      <c r="A7" s="31" t="s">
        <v>429</v>
      </c>
      <c r="B7" s="71">
        <v>1</v>
      </c>
      <c r="C7" s="31">
        <v>4</v>
      </c>
      <c r="D7" s="31">
        <v>4</v>
      </c>
      <c r="E7" s="31">
        <v>4</v>
      </c>
      <c r="F7" s="31">
        <v>1</v>
      </c>
      <c r="G7" s="31">
        <v>1</v>
      </c>
      <c r="H7" s="31">
        <v>1</v>
      </c>
      <c r="I7" s="31">
        <f>L7/C7/F7</f>
        <v>1625</v>
      </c>
      <c r="J7" s="31">
        <f>M7/D7/G7</f>
        <v>1625</v>
      </c>
      <c r="K7" s="31">
        <f>N7/E7/H7</f>
        <v>1625</v>
      </c>
      <c r="L7" s="31">
        <v>6500</v>
      </c>
      <c r="M7" s="31">
        <v>6500</v>
      </c>
      <c r="N7" s="31">
        <v>6500</v>
      </c>
      <c r="O7" s="53"/>
      <c r="P7" s="53">
        <f>L7-O7</f>
        <v>6500</v>
      </c>
    </row>
    <row r="8" spans="1:16" x14ac:dyDescent="0.2">
      <c r="A8" s="31" t="s">
        <v>136</v>
      </c>
      <c r="B8" s="71">
        <v>9000</v>
      </c>
      <c r="C8" s="71" t="s">
        <v>12</v>
      </c>
      <c r="D8" s="71" t="s">
        <v>12</v>
      </c>
      <c r="E8" s="71" t="s">
        <v>12</v>
      </c>
      <c r="F8" s="71" t="s">
        <v>12</v>
      </c>
      <c r="G8" s="71" t="s">
        <v>12</v>
      </c>
      <c r="H8" s="71" t="s">
        <v>12</v>
      </c>
      <c r="I8" s="71" t="s">
        <v>12</v>
      </c>
      <c r="J8" s="71" t="s">
        <v>12</v>
      </c>
      <c r="K8" s="71" t="s">
        <v>12</v>
      </c>
      <c r="L8" s="76">
        <f>L7</f>
        <v>6500</v>
      </c>
      <c r="M8" s="76">
        <f>M7</f>
        <v>6500</v>
      </c>
      <c r="N8" s="76">
        <f>N7</f>
        <v>6500</v>
      </c>
      <c r="O8" s="81">
        <f>SUM(O7)</f>
        <v>0</v>
      </c>
      <c r="P8" s="81">
        <f>SUM(P7)</f>
        <v>6500</v>
      </c>
    </row>
    <row r="9" spans="1:16" x14ac:dyDescent="0.2">
      <c r="O9" s="80">
        <f>O8</f>
        <v>0</v>
      </c>
      <c r="P9" s="80">
        <f>P8</f>
        <v>6500</v>
      </c>
    </row>
  </sheetData>
  <mergeCells count="6">
    <mergeCell ref="L3:N3"/>
    <mergeCell ref="A3:A5"/>
    <mergeCell ref="B3:B5"/>
    <mergeCell ref="C3:E3"/>
    <mergeCell ref="F3:H3"/>
    <mergeCell ref="I3:K3"/>
  </mergeCells>
  <pageMargins left="0.7" right="0.7" top="0.75" bottom="0.75" header="0.3" footer="0.3"/>
  <pageSetup paperSize="9" scale="64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K7"/>
  <sheetViews>
    <sheetView zoomScaleNormal="100" workbookViewId="0">
      <selection activeCell="I11" sqref="I11"/>
    </sheetView>
  </sheetViews>
  <sheetFormatPr defaultColWidth="9.140625" defaultRowHeight="12.75" x14ac:dyDescent="0.2"/>
  <cols>
    <col min="1" max="1" width="21.28515625" style="2" customWidth="1"/>
    <col min="2" max="2" width="9.140625" style="2"/>
    <col min="3" max="11" width="13.85546875" style="2" customWidth="1"/>
    <col min="12" max="16384" width="9.140625" style="2"/>
  </cols>
  <sheetData>
    <row r="1" spans="1:11" x14ac:dyDescent="0.2">
      <c r="A1" s="2" t="s">
        <v>233</v>
      </c>
    </row>
    <row r="2" spans="1:11" ht="33" customHeight="1" x14ac:dyDescent="0.2">
      <c r="A2" s="231" t="s">
        <v>0</v>
      </c>
      <c r="B2" s="231" t="s">
        <v>1</v>
      </c>
      <c r="C2" s="231" t="s">
        <v>230</v>
      </c>
      <c r="D2" s="231"/>
      <c r="E2" s="231"/>
      <c r="F2" s="231" t="s">
        <v>231</v>
      </c>
      <c r="G2" s="231"/>
      <c r="H2" s="231"/>
      <c r="I2" s="231" t="s">
        <v>232</v>
      </c>
      <c r="J2" s="231"/>
      <c r="K2" s="231"/>
    </row>
    <row r="3" spans="1:11" x14ac:dyDescent="0.2">
      <c r="A3" s="231"/>
      <c r="B3" s="231"/>
      <c r="C3" s="1" t="s">
        <v>4</v>
      </c>
      <c r="D3" s="1" t="s">
        <v>4</v>
      </c>
      <c r="E3" s="1" t="s">
        <v>4</v>
      </c>
      <c r="F3" s="1" t="s">
        <v>4</v>
      </c>
      <c r="G3" s="1" t="s">
        <v>4</v>
      </c>
      <c r="H3" s="1" t="s">
        <v>4</v>
      </c>
      <c r="I3" s="1" t="s">
        <v>4</v>
      </c>
      <c r="J3" s="1" t="s">
        <v>4</v>
      </c>
      <c r="K3" s="1" t="s">
        <v>4</v>
      </c>
    </row>
    <row r="4" spans="1:11" ht="38.25" x14ac:dyDescent="0.2">
      <c r="A4" s="231"/>
      <c r="B4" s="231"/>
      <c r="C4" s="1" t="s">
        <v>79</v>
      </c>
      <c r="D4" s="1" t="s">
        <v>80</v>
      </c>
      <c r="E4" s="1" t="s">
        <v>81</v>
      </c>
      <c r="F4" s="1" t="s">
        <v>79</v>
      </c>
      <c r="G4" s="1" t="s">
        <v>80</v>
      </c>
      <c r="H4" s="1" t="s">
        <v>81</v>
      </c>
      <c r="I4" s="1" t="s">
        <v>79</v>
      </c>
      <c r="J4" s="1" t="s">
        <v>80</v>
      </c>
      <c r="K4" s="1" t="s">
        <v>81</v>
      </c>
    </row>
    <row r="5" spans="1:11" x14ac:dyDescent="0.2">
      <c r="A5" s="1">
        <v>1</v>
      </c>
      <c r="B5" s="1">
        <v>2</v>
      </c>
      <c r="C5" s="1">
        <v>3</v>
      </c>
      <c r="D5" s="1">
        <v>4</v>
      </c>
      <c r="E5" s="1">
        <v>5</v>
      </c>
      <c r="F5" s="1">
        <v>6</v>
      </c>
      <c r="G5" s="1">
        <v>7</v>
      </c>
      <c r="H5" s="1">
        <v>8</v>
      </c>
      <c r="I5" s="1">
        <v>9</v>
      </c>
      <c r="J5" s="1">
        <v>10</v>
      </c>
      <c r="K5" s="1">
        <v>11</v>
      </c>
    </row>
    <row r="6" spans="1:11" x14ac:dyDescent="0.2">
      <c r="A6" s="4"/>
      <c r="B6" s="1">
        <v>1</v>
      </c>
      <c r="C6" s="4"/>
      <c r="D6" s="4"/>
      <c r="E6" s="4"/>
      <c r="F6" s="4"/>
      <c r="G6" s="4"/>
      <c r="H6" s="4"/>
      <c r="I6" s="3"/>
      <c r="J6" s="3"/>
      <c r="K6" s="3"/>
    </row>
    <row r="7" spans="1:11" x14ac:dyDescent="0.2">
      <c r="A7" s="4" t="s">
        <v>136</v>
      </c>
      <c r="B7" s="1">
        <v>9000</v>
      </c>
      <c r="C7" s="1" t="s">
        <v>12</v>
      </c>
      <c r="D7" s="1" t="s">
        <v>12</v>
      </c>
      <c r="E7" s="1" t="s">
        <v>12</v>
      </c>
      <c r="F7" s="1" t="s">
        <v>12</v>
      </c>
      <c r="G7" s="1" t="s">
        <v>12</v>
      </c>
      <c r="H7" s="1" t="s">
        <v>12</v>
      </c>
      <c r="I7" s="3">
        <f>I6</f>
        <v>0</v>
      </c>
      <c r="J7" s="3">
        <f>J6</f>
        <v>0</v>
      </c>
      <c r="K7" s="3">
        <f>K6</f>
        <v>0</v>
      </c>
    </row>
  </sheetData>
  <mergeCells count="5">
    <mergeCell ref="A2:A4"/>
    <mergeCell ref="B2:B4"/>
    <mergeCell ref="C2:E2"/>
    <mergeCell ref="F2:H2"/>
    <mergeCell ref="I2:K2"/>
  </mergeCells>
  <pageMargins left="0.7" right="0.7" top="0.75" bottom="0.75" header="0.3" footer="0.3"/>
  <pageSetup paperSize="9" scale="84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M17"/>
  <sheetViews>
    <sheetView view="pageBreakPreview" zoomScaleNormal="100" zoomScaleSheetLayoutView="100" workbookViewId="0">
      <selection sqref="A1:XFD1048576"/>
    </sheetView>
  </sheetViews>
  <sheetFormatPr defaultColWidth="9.140625" defaultRowHeight="12.75" x14ac:dyDescent="0.2"/>
  <cols>
    <col min="1" max="1" width="23.42578125" style="30" customWidth="1"/>
    <col min="2" max="2" width="9.140625" style="30"/>
    <col min="3" max="11" width="14.140625" style="30" customWidth="1"/>
    <col min="12" max="16384" width="9.140625" style="30"/>
  </cols>
  <sheetData>
    <row r="1" spans="1:13" x14ac:dyDescent="0.2">
      <c r="A1" s="30" t="s">
        <v>237</v>
      </c>
    </row>
    <row r="3" spans="1:13" x14ac:dyDescent="0.2">
      <c r="A3" s="30" t="str">
        <f>'3.13.1'!D9</f>
        <v>0701 0210080610 621</v>
      </c>
    </row>
    <row r="4" spans="1:13" ht="49.5" customHeight="1" x14ac:dyDescent="0.2">
      <c r="A4" s="237" t="s">
        <v>221</v>
      </c>
      <c r="B4" s="237" t="s">
        <v>1</v>
      </c>
      <c r="C4" s="237" t="s">
        <v>234</v>
      </c>
      <c r="D4" s="237"/>
      <c r="E4" s="237"/>
      <c r="F4" s="237" t="s">
        <v>235</v>
      </c>
      <c r="G4" s="237"/>
      <c r="H4" s="237"/>
      <c r="I4" s="237" t="s">
        <v>236</v>
      </c>
      <c r="J4" s="237"/>
      <c r="K4" s="237"/>
    </row>
    <row r="5" spans="1:13" x14ac:dyDescent="0.2">
      <c r="A5" s="237"/>
      <c r="B5" s="237"/>
      <c r="C5" s="104" t="s">
        <v>410</v>
      </c>
      <c r="D5" s="104" t="s">
        <v>455</v>
      </c>
      <c r="E5" s="104" t="s">
        <v>508</v>
      </c>
      <c r="F5" s="104" t="s">
        <v>410</v>
      </c>
      <c r="G5" s="104" t="s">
        <v>455</v>
      </c>
      <c r="H5" s="104" t="s">
        <v>508</v>
      </c>
      <c r="I5" s="104" t="s">
        <v>410</v>
      </c>
      <c r="J5" s="104" t="s">
        <v>455</v>
      </c>
      <c r="K5" s="104" t="s">
        <v>508</v>
      </c>
    </row>
    <row r="6" spans="1:13" ht="38.25" x14ac:dyDescent="0.2">
      <c r="A6" s="237"/>
      <c r="B6" s="237"/>
      <c r="C6" s="104" t="s">
        <v>79</v>
      </c>
      <c r="D6" s="104" t="s">
        <v>80</v>
      </c>
      <c r="E6" s="104" t="s">
        <v>81</v>
      </c>
      <c r="F6" s="104" t="s">
        <v>79</v>
      </c>
      <c r="G6" s="104" t="s">
        <v>80</v>
      </c>
      <c r="H6" s="104" t="s">
        <v>81</v>
      </c>
      <c r="I6" s="104" t="s">
        <v>79</v>
      </c>
      <c r="J6" s="104" t="s">
        <v>80</v>
      </c>
      <c r="K6" s="104" t="s">
        <v>81</v>
      </c>
    </row>
    <row r="7" spans="1:13" x14ac:dyDescent="0.2">
      <c r="A7" s="104">
        <v>1</v>
      </c>
      <c r="B7" s="104">
        <v>2</v>
      </c>
      <c r="C7" s="104">
        <v>3</v>
      </c>
      <c r="D7" s="104">
        <v>4</v>
      </c>
      <c r="E7" s="104">
        <v>5</v>
      </c>
      <c r="F7" s="104">
        <v>6</v>
      </c>
      <c r="G7" s="104">
        <v>7</v>
      </c>
      <c r="H7" s="104">
        <v>8</v>
      </c>
      <c r="I7" s="104">
        <v>9</v>
      </c>
      <c r="J7" s="104">
        <v>10</v>
      </c>
      <c r="K7" s="104">
        <v>11</v>
      </c>
      <c r="L7" s="53" t="s">
        <v>434</v>
      </c>
      <c r="M7" s="53" t="s">
        <v>435</v>
      </c>
    </row>
    <row r="8" spans="1:13" x14ac:dyDescent="0.2">
      <c r="A8" s="31" t="s">
        <v>454</v>
      </c>
      <c r="B8" s="104">
        <v>2</v>
      </c>
      <c r="C8" s="31">
        <v>0</v>
      </c>
      <c r="D8" s="31">
        <v>0</v>
      </c>
      <c r="E8" s="31">
        <v>0</v>
      </c>
      <c r="F8" s="31">
        <v>0</v>
      </c>
      <c r="G8" s="31">
        <v>0</v>
      </c>
      <c r="H8" s="31">
        <v>0</v>
      </c>
      <c r="I8" s="31">
        <v>2000</v>
      </c>
      <c r="J8" s="31">
        <v>2000</v>
      </c>
      <c r="K8" s="31">
        <v>2000</v>
      </c>
      <c r="L8" s="53"/>
      <c r="M8" s="53">
        <f>I8-L8</f>
        <v>2000</v>
      </c>
    </row>
    <row r="9" spans="1:13" x14ac:dyDescent="0.2">
      <c r="A9" s="31" t="s">
        <v>136</v>
      </c>
      <c r="B9" s="104">
        <v>9000</v>
      </c>
      <c r="C9" s="104" t="s">
        <v>12</v>
      </c>
      <c r="D9" s="104" t="s">
        <v>12</v>
      </c>
      <c r="E9" s="104" t="s">
        <v>12</v>
      </c>
      <c r="F9" s="104" t="s">
        <v>12</v>
      </c>
      <c r="G9" s="104" t="s">
        <v>12</v>
      </c>
      <c r="H9" s="104" t="s">
        <v>12</v>
      </c>
      <c r="I9" s="31">
        <f>I8</f>
        <v>2000</v>
      </c>
      <c r="J9" s="31">
        <f>J8</f>
        <v>2000</v>
      </c>
      <c r="K9" s="31">
        <f>K8</f>
        <v>2000</v>
      </c>
      <c r="L9" s="53">
        <f>L8</f>
        <v>0</v>
      </c>
      <c r="M9" s="53">
        <f>M8</f>
        <v>2000</v>
      </c>
    </row>
    <row r="11" spans="1:13" hidden="1" x14ac:dyDescent="0.2">
      <c r="A11" s="95" t="str">
        <f>'3.13.1'!M9</f>
        <v>0701 4200099000 853</v>
      </c>
    </row>
    <row r="12" spans="1:13" ht="49.5" hidden="1" customHeight="1" x14ac:dyDescent="0.2">
      <c r="A12" s="237" t="s">
        <v>221</v>
      </c>
      <c r="B12" s="237" t="s">
        <v>1</v>
      </c>
      <c r="C12" s="237" t="s">
        <v>234</v>
      </c>
      <c r="D12" s="237"/>
      <c r="E12" s="237"/>
      <c r="F12" s="237" t="s">
        <v>235</v>
      </c>
      <c r="G12" s="237"/>
      <c r="H12" s="237"/>
      <c r="I12" s="237" t="s">
        <v>236</v>
      </c>
      <c r="J12" s="237"/>
      <c r="K12" s="237"/>
    </row>
    <row r="13" spans="1:13" hidden="1" x14ac:dyDescent="0.2">
      <c r="A13" s="237"/>
      <c r="B13" s="237"/>
      <c r="C13" s="104" t="s">
        <v>411</v>
      </c>
      <c r="D13" s="104" t="s">
        <v>353</v>
      </c>
      <c r="E13" s="104" t="s">
        <v>455</v>
      </c>
      <c r="F13" s="104" t="s">
        <v>411</v>
      </c>
      <c r="G13" s="104" t="s">
        <v>353</v>
      </c>
      <c r="H13" s="104" t="s">
        <v>455</v>
      </c>
      <c r="I13" s="104" t="s">
        <v>411</v>
      </c>
      <c r="J13" s="104" t="s">
        <v>353</v>
      </c>
      <c r="K13" s="104" t="s">
        <v>455</v>
      </c>
    </row>
    <row r="14" spans="1:13" ht="38.25" hidden="1" x14ac:dyDescent="0.2">
      <c r="A14" s="237"/>
      <c r="B14" s="237"/>
      <c r="C14" s="104" t="s">
        <v>79</v>
      </c>
      <c r="D14" s="104" t="s">
        <v>80</v>
      </c>
      <c r="E14" s="104" t="s">
        <v>81</v>
      </c>
      <c r="F14" s="104" t="s">
        <v>79</v>
      </c>
      <c r="G14" s="104" t="s">
        <v>80</v>
      </c>
      <c r="H14" s="104" t="s">
        <v>81</v>
      </c>
      <c r="I14" s="104" t="s">
        <v>79</v>
      </c>
      <c r="J14" s="104" t="s">
        <v>80</v>
      </c>
      <c r="K14" s="104" t="s">
        <v>81</v>
      </c>
    </row>
    <row r="15" spans="1:13" hidden="1" x14ac:dyDescent="0.2">
      <c r="A15" s="104">
        <v>1</v>
      </c>
      <c r="B15" s="104">
        <v>2</v>
      </c>
      <c r="C15" s="104">
        <v>3</v>
      </c>
      <c r="D15" s="104">
        <v>4</v>
      </c>
      <c r="E15" s="104">
        <v>5</v>
      </c>
      <c r="F15" s="104">
        <v>6</v>
      </c>
      <c r="G15" s="104">
        <v>7</v>
      </c>
      <c r="H15" s="104">
        <v>8</v>
      </c>
      <c r="I15" s="104">
        <v>9</v>
      </c>
      <c r="J15" s="104">
        <v>10</v>
      </c>
      <c r="K15" s="104">
        <v>11</v>
      </c>
      <c r="L15" s="53" t="s">
        <v>434</v>
      </c>
      <c r="M15" s="53" t="s">
        <v>435</v>
      </c>
    </row>
    <row r="16" spans="1:13" hidden="1" x14ac:dyDescent="0.2">
      <c r="A16" s="31" t="s">
        <v>503</v>
      </c>
      <c r="B16" s="104">
        <v>2</v>
      </c>
      <c r="C16" s="31">
        <v>0</v>
      </c>
      <c r="D16" s="31">
        <v>0</v>
      </c>
      <c r="E16" s="31">
        <v>0</v>
      </c>
      <c r="F16" s="31">
        <v>0</v>
      </c>
      <c r="G16" s="31">
        <v>0</v>
      </c>
      <c r="H16" s="31">
        <v>0</v>
      </c>
      <c r="I16" s="31">
        <v>0</v>
      </c>
      <c r="J16" s="31"/>
      <c r="K16" s="31"/>
      <c r="L16" s="53">
        <f>I16</f>
        <v>0</v>
      </c>
      <c r="M16" s="53">
        <f>I16-L16</f>
        <v>0</v>
      </c>
    </row>
    <row r="17" spans="1:13" hidden="1" x14ac:dyDescent="0.2">
      <c r="A17" s="31" t="s">
        <v>136</v>
      </c>
      <c r="B17" s="104">
        <v>9000</v>
      </c>
      <c r="C17" s="104" t="s">
        <v>12</v>
      </c>
      <c r="D17" s="104" t="s">
        <v>12</v>
      </c>
      <c r="E17" s="104" t="s">
        <v>12</v>
      </c>
      <c r="F17" s="104" t="s">
        <v>12</v>
      </c>
      <c r="G17" s="104" t="s">
        <v>12</v>
      </c>
      <c r="H17" s="104" t="s">
        <v>12</v>
      </c>
      <c r="I17" s="31">
        <f>I16</f>
        <v>0</v>
      </c>
      <c r="J17" s="31">
        <f>J16</f>
        <v>0</v>
      </c>
      <c r="K17" s="31">
        <f>K16</f>
        <v>0</v>
      </c>
      <c r="L17" s="53">
        <f>L16</f>
        <v>0</v>
      </c>
      <c r="M17" s="53">
        <f>M16</f>
        <v>0</v>
      </c>
    </row>
  </sheetData>
  <mergeCells count="10">
    <mergeCell ref="A12:A14"/>
    <mergeCell ref="B12:B14"/>
    <mergeCell ref="C12:E12"/>
    <mergeCell ref="F12:H12"/>
    <mergeCell ref="I12:K12"/>
    <mergeCell ref="A4:A6"/>
    <mergeCell ref="B4:B6"/>
    <mergeCell ref="C4:E4"/>
    <mergeCell ref="F4:H4"/>
    <mergeCell ref="I4:K4"/>
  </mergeCells>
  <pageMargins left="0.7" right="0.7" top="0.75" bottom="0.75" header="0.3" footer="0.3"/>
  <pageSetup paperSize="9" scale="82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K10"/>
  <sheetViews>
    <sheetView zoomScaleNormal="100" workbookViewId="0">
      <selection activeCell="F23" sqref="F23"/>
    </sheetView>
  </sheetViews>
  <sheetFormatPr defaultColWidth="9.140625" defaultRowHeight="12.75" x14ac:dyDescent="0.2"/>
  <cols>
    <col min="1" max="1" width="19.85546875" style="2" customWidth="1"/>
    <col min="2" max="2" width="9.140625" style="2"/>
    <col min="3" max="11" width="15.7109375" style="2" customWidth="1"/>
    <col min="12" max="16384" width="9.140625" style="2"/>
  </cols>
  <sheetData>
    <row r="1" spans="1:11" x14ac:dyDescent="0.2">
      <c r="A1" s="2" t="s">
        <v>238</v>
      </c>
    </row>
    <row r="3" spans="1:11" ht="33" customHeight="1" x14ac:dyDescent="0.2">
      <c r="A3" s="231" t="s">
        <v>221</v>
      </c>
      <c r="B3" s="231" t="s">
        <v>1</v>
      </c>
      <c r="C3" s="231" t="s">
        <v>230</v>
      </c>
      <c r="D3" s="231"/>
      <c r="E3" s="231"/>
      <c r="F3" s="231" t="s">
        <v>231</v>
      </c>
      <c r="G3" s="231"/>
      <c r="H3" s="231"/>
      <c r="I3" s="231" t="s">
        <v>232</v>
      </c>
      <c r="J3" s="231"/>
      <c r="K3" s="231"/>
    </row>
    <row r="4" spans="1:11" x14ac:dyDescent="0.2">
      <c r="A4" s="231"/>
      <c r="B4" s="231"/>
      <c r="C4" s="1" t="s">
        <v>4</v>
      </c>
      <c r="D4" s="1" t="s">
        <v>4</v>
      </c>
      <c r="E4" s="1" t="s">
        <v>4</v>
      </c>
      <c r="F4" s="1" t="s">
        <v>4</v>
      </c>
      <c r="G4" s="1" t="s">
        <v>4</v>
      </c>
      <c r="H4" s="1" t="s">
        <v>4</v>
      </c>
      <c r="I4" s="1" t="s">
        <v>4</v>
      </c>
      <c r="J4" s="1" t="s">
        <v>4</v>
      </c>
      <c r="K4" s="1" t="s">
        <v>4</v>
      </c>
    </row>
    <row r="5" spans="1:11" ht="38.25" x14ac:dyDescent="0.2">
      <c r="A5" s="231"/>
      <c r="B5" s="231"/>
      <c r="C5" s="1" t="s">
        <v>79</v>
      </c>
      <c r="D5" s="1" t="s">
        <v>80</v>
      </c>
      <c r="E5" s="1" t="s">
        <v>81</v>
      </c>
      <c r="F5" s="1" t="s">
        <v>79</v>
      </c>
      <c r="G5" s="1" t="s">
        <v>80</v>
      </c>
      <c r="H5" s="1" t="s">
        <v>81</v>
      </c>
      <c r="I5" s="1" t="s">
        <v>79</v>
      </c>
      <c r="J5" s="1" t="s">
        <v>80</v>
      </c>
      <c r="K5" s="1" t="s">
        <v>81</v>
      </c>
    </row>
    <row r="6" spans="1:11" x14ac:dyDescent="0.2">
      <c r="A6" s="1">
        <v>1</v>
      </c>
      <c r="B6" s="1">
        <v>2</v>
      </c>
      <c r="C6" s="1">
        <v>3</v>
      </c>
      <c r="D6" s="1">
        <v>4</v>
      </c>
      <c r="E6" s="1">
        <v>5</v>
      </c>
      <c r="F6" s="1">
        <v>6</v>
      </c>
      <c r="G6" s="1">
        <v>7</v>
      </c>
      <c r="H6" s="1">
        <v>8</v>
      </c>
      <c r="I6" s="1">
        <v>9</v>
      </c>
      <c r="J6" s="1">
        <v>10</v>
      </c>
      <c r="K6" s="1">
        <v>11</v>
      </c>
    </row>
    <row r="7" spans="1:11" x14ac:dyDescent="0.2">
      <c r="A7" s="4"/>
      <c r="B7" s="1">
        <v>1</v>
      </c>
      <c r="C7" s="4"/>
      <c r="D7" s="4"/>
      <c r="E7" s="4"/>
      <c r="F7" s="4"/>
      <c r="G7" s="4"/>
      <c r="H7" s="4"/>
      <c r="I7" s="4"/>
      <c r="J7" s="4"/>
      <c r="K7" s="4"/>
    </row>
    <row r="8" spans="1:11" x14ac:dyDescent="0.2">
      <c r="A8" s="4"/>
      <c r="B8" s="1">
        <v>2</v>
      </c>
      <c r="C8" s="4"/>
      <c r="D8" s="4"/>
      <c r="E8" s="4"/>
      <c r="F8" s="4"/>
      <c r="G8" s="4"/>
      <c r="H8" s="4"/>
      <c r="I8" s="4"/>
      <c r="J8" s="4"/>
      <c r="K8" s="4"/>
    </row>
    <row r="9" spans="1:11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4"/>
    </row>
    <row r="10" spans="1:11" x14ac:dyDescent="0.2">
      <c r="A10" s="4" t="s">
        <v>136</v>
      </c>
      <c r="B10" s="1">
        <v>9000</v>
      </c>
      <c r="C10" s="1" t="s">
        <v>12</v>
      </c>
      <c r="D10" s="1" t="s">
        <v>12</v>
      </c>
      <c r="E10" s="1" t="s">
        <v>12</v>
      </c>
      <c r="F10" s="1" t="s">
        <v>12</v>
      </c>
      <c r="G10" s="1" t="s">
        <v>12</v>
      </c>
      <c r="H10" s="1" t="s">
        <v>12</v>
      </c>
      <c r="I10" s="4"/>
      <c r="J10" s="4"/>
      <c r="K10" s="4"/>
    </row>
  </sheetData>
  <mergeCells count="5">
    <mergeCell ref="A3:A5"/>
    <mergeCell ref="B3:B5"/>
    <mergeCell ref="C3:E3"/>
    <mergeCell ref="F3:H3"/>
    <mergeCell ref="I3:K3"/>
  </mergeCells>
  <pageMargins left="0.7" right="0.7" top="0.75" bottom="0.75" header="0.3" footer="0.3"/>
  <pageSetup paperSize="9" scale="76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view="pageBreakPreview" zoomScaleNormal="100" zoomScaleSheetLayoutView="100" workbookViewId="0">
      <selection activeCell="A8" sqref="A8:K8"/>
    </sheetView>
  </sheetViews>
  <sheetFormatPr defaultColWidth="9.140625" defaultRowHeight="12.75" x14ac:dyDescent="0.2"/>
  <cols>
    <col min="1" max="1" width="17.7109375" style="30" customWidth="1"/>
    <col min="2" max="2" width="6.42578125" style="30" customWidth="1"/>
    <col min="3" max="3" width="13.85546875" style="30" customWidth="1"/>
    <col min="4" max="4" width="13.28515625" style="30" customWidth="1"/>
    <col min="5" max="5" width="12.28515625" style="30" customWidth="1"/>
    <col min="6" max="11" width="17.140625" style="30" customWidth="1"/>
    <col min="12" max="16384" width="9.140625" style="30"/>
  </cols>
  <sheetData>
    <row r="1" spans="1:13" x14ac:dyDescent="0.2">
      <c r="A1" s="30" t="s">
        <v>239</v>
      </c>
    </row>
    <row r="3" spans="1:13" x14ac:dyDescent="0.2">
      <c r="A3" s="30" t="str">
        <f>'3.13.1'!I9</f>
        <v>0701 0210075880 621</v>
      </c>
    </row>
    <row r="4" spans="1:13" x14ac:dyDescent="0.2">
      <c r="A4" s="237" t="s">
        <v>221</v>
      </c>
      <c r="B4" s="237" t="s">
        <v>1</v>
      </c>
      <c r="C4" s="237" t="s">
        <v>230</v>
      </c>
      <c r="D4" s="237"/>
      <c r="E4" s="237"/>
      <c r="F4" s="237" t="s">
        <v>231</v>
      </c>
      <c r="G4" s="237"/>
      <c r="H4" s="237"/>
      <c r="I4" s="237" t="s">
        <v>232</v>
      </c>
      <c r="J4" s="237"/>
      <c r="K4" s="237"/>
    </row>
    <row r="5" spans="1:13" x14ac:dyDescent="0.2">
      <c r="A5" s="237"/>
      <c r="B5" s="237"/>
      <c r="C5" s="104" t="s">
        <v>353</v>
      </c>
      <c r="D5" s="104" t="s">
        <v>455</v>
      </c>
      <c r="E5" s="104" t="s">
        <v>508</v>
      </c>
      <c r="F5" s="104" t="s">
        <v>353</v>
      </c>
      <c r="G5" s="104" t="s">
        <v>455</v>
      </c>
      <c r="H5" s="104" t="s">
        <v>508</v>
      </c>
      <c r="I5" s="104" t="s">
        <v>353</v>
      </c>
      <c r="J5" s="104" t="s">
        <v>455</v>
      </c>
      <c r="K5" s="104" t="s">
        <v>508</v>
      </c>
    </row>
    <row r="6" spans="1:13" ht="50.25" customHeight="1" x14ac:dyDescent="0.2">
      <c r="A6" s="237"/>
      <c r="B6" s="237"/>
      <c r="C6" s="104" t="s">
        <v>79</v>
      </c>
      <c r="D6" s="104" t="s">
        <v>80</v>
      </c>
      <c r="E6" s="104" t="s">
        <v>81</v>
      </c>
      <c r="F6" s="104" t="s">
        <v>79</v>
      </c>
      <c r="G6" s="104" t="s">
        <v>80</v>
      </c>
      <c r="H6" s="104" t="s">
        <v>81</v>
      </c>
      <c r="I6" s="104" t="s">
        <v>79</v>
      </c>
      <c r="J6" s="104" t="s">
        <v>80</v>
      </c>
      <c r="K6" s="104" t="s">
        <v>81</v>
      </c>
    </row>
    <row r="7" spans="1:13" x14ac:dyDescent="0.2">
      <c r="A7" s="104">
        <v>1</v>
      </c>
      <c r="B7" s="104">
        <v>2</v>
      </c>
      <c r="C7" s="104">
        <v>3</v>
      </c>
      <c r="D7" s="104">
        <v>4</v>
      </c>
      <c r="E7" s="104">
        <v>5</v>
      </c>
      <c r="F7" s="104">
        <v>6</v>
      </c>
      <c r="G7" s="104">
        <v>7</v>
      </c>
      <c r="H7" s="104">
        <v>8</v>
      </c>
      <c r="I7" s="104">
        <v>9</v>
      </c>
      <c r="J7" s="104">
        <v>10</v>
      </c>
      <c r="K7" s="104">
        <v>11</v>
      </c>
      <c r="L7" s="53" t="s">
        <v>434</v>
      </c>
      <c r="M7" s="53" t="s">
        <v>435</v>
      </c>
    </row>
    <row r="8" spans="1:13" ht="105" customHeight="1" x14ac:dyDescent="0.2">
      <c r="A8" s="31"/>
      <c r="B8" s="104"/>
      <c r="C8" s="167"/>
      <c r="D8" s="167"/>
      <c r="E8" s="167"/>
      <c r="F8" s="31"/>
      <c r="G8" s="31"/>
      <c r="H8" s="31"/>
      <c r="I8" s="103"/>
      <c r="J8" s="103"/>
      <c r="K8" s="103"/>
      <c r="L8" s="54"/>
      <c r="M8" s="54">
        <f>I8-L8</f>
        <v>0</v>
      </c>
    </row>
    <row r="9" spans="1:13" x14ac:dyDescent="0.2">
      <c r="A9" s="31" t="s">
        <v>136</v>
      </c>
      <c r="B9" s="104">
        <v>9000</v>
      </c>
      <c r="C9" s="168" t="s">
        <v>12</v>
      </c>
      <c r="D9" s="168" t="s">
        <v>12</v>
      </c>
      <c r="E9" s="168" t="s">
        <v>12</v>
      </c>
      <c r="F9" s="104" t="s">
        <v>12</v>
      </c>
      <c r="G9" s="104" t="s">
        <v>12</v>
      </c>
      <c r="H9" s="104" t="s">
        <v>12</v>
      </c>
      <c r="I9" s="32">
        <f>SUM(I8:I8)</f>
        <v>0</v>
      </c>
      <c r="J9" s="32">
        <f>SUM(J8:J8)</f>
        <v>0</v>
      </c>
      <c r="K9" s="32">
        <f>SUM(K8:K8)</f>
        <v>0</v>
      </c>
      <c r="L9" s="55">
        <f>SUM(L8)</f>
        <v>0</v>
      </c>
      <c r="M9" s="55">
        <f>SUM(M8)</f>
        <v>0</v>
      </c>
    </row>
    <row r="10" spans="1:13" hidden="1" x14ac:dyDescent="0.2">
      <c r="C10" s="165"/>
      <c r="D10" s="165"/>
      <c r="E10" s="165"/>
    </row>
    <row r="11" spans="1:13" hidden="1" x14ac:dyDescent="0.2">
      <c r="A11" s="30" t="str">
        <f>'3.13.1'!J9</f>
        <v>0701 0210074080 621</v>
      </c>
      <c r="C11" s="165"/>
      <c r="D11" s="165"/>
      <c r="E11" s="165"/>
    </row>
    <row r="12" spans="1:13" hidden="1" x14ac:dyDescent="0.2">
      <c r="A12" s="237" t="s">
        <v>221</v>
      </c>
      <c r="B12" s="237" t="s">
        <v>1</v>
      </c>
      <c r="C12" s="255" t="s">
        <v>230</v>
      </c>
      <c r="D12" s="255"/>
      <c r="E12" s="255"/>
      <c r="F12" s="237" t="s">
        <v>231</v>
      </c>
      <c r="G12" s="237"/>
      <c r="H12" s="237"/>
      <c r="I12" s="237" t="s">
        <v>232</v>
      </c>
      <c r="J12" s="237"/>
      <c r="K12" s="237"/>
    </row>
    <row r="13" spans="1:13" hidden="1" x14ac:dyDescent="0.2">
      <c r="A13" s="237"/>
      <c r="B13" s="237"/>
      <c r="C13" s="168" t="s">
        <v>330</v>
      </c>
      <c r="D13" s="168" t="s">
        <v>331</v>
      </c>
      <c r="E13" s="168" t="s">
        <v>353</v>
      </c>
      <c r="F13" s="104" t="s">
        <v>330</v>
      </c>
      <c r="G13" s="104" t="s">
        <v>331</v>
      </c>
      <c r="H13" s="104" t="s">
        <v>353</v>
      </c>
      <c r="I13" s="104" t="s">
        <v>330</v>
      </c>
      <c r="J13" s="104" t="s">
        <v>331</v>
      </c>
      <c r="K13" s="104" t="s">
        <v>353</v>
      </c>
    </row>
    <row r="14" spans="1:13" ht="52.5" hidden="1" customHeight="1" x14ac:dyDescent="0.2">
      <c r="A14" s="237"/>
      <c r="B14" s="237"/>
      <c r="C14" s="168" t="s">
        <v>79</v>
      </c>
      <c r="D14" s="168" t="s">
        <v>80</v>
      </c>
      <c r="E14" s="168" t="s">
        <v>81</v>
      </c>
      <c r="F14" s="104" t="s">
        <v>79</v>
      </c>
      <c r="G14" s="104" t="s">
        <v>80</v>
      </c>
      <c r="H14" s="104" t="s">
        <v>81</v>
      </c>
      <c r="I14" s="104" t="s">
        <v>79</v>
      </c>
      <c r="J14" s="104" t="s">
        <v>80</v>
      </c>
      <c r="K14" s="104" t="s">
        <v>81</v>
      </c>
    </row>
    <row r="15" spans="1:13" hidden="1" x14ac:dyDescent="0.2">
      <c r="A15" s="104">
        <v>1</v>
      </c>
      <c r="B15" s="104">
        <v>2</v>
      </c>
      <c r="C15" s="168">
        <v>3</v>
      </c>
      <c r="D15" s="168">
        <v>4</v>
      </c>
      <c r="E15" s="168">
        <v>5</v>
      </c>
      <c r="F15" s="104">
        <v>6</v>
      </c>
      <c r="G15" s="104">
        <v>7</v>
      </c>
      <c r="H15" s="104">
        <v>8</v>
      </c>
      <c r="I15" s="104">
        <v>9</v>
      </c>
      <c r="J15" s="104">
        <v>10</v>
      </c>
      <c r="K15" s="104">
        <v>11</v>
      </c>
      <c r="L15" s="53" t="s">
        <v>434</v>
      </c>
      <c r="M15" s="53" t="s">
        <v>435</v>
      </c>
    </row>
    <row r="16" spans="1:13" ht="102" hidden="1" customHeight="1" x14ac:dyDescent="0.2">
      <c r="A16" s="31" t="s">
        <v>429</v>
      </c>
      <c r="B16" s="104">
        <v>1</v>
      </c>
      <c r="C16" s="167">
        <v>0</v>
      </c>
      <c r="D16" s="167">
        <v>0</v>
      </c>
      <c r="E16" s="167">
        <v>0</v>
      </c>
      <c r="F16" s="31">
        <v>0</v>
      </c>
      <c r="G16" s="31">
        <v>0</v>
      </c>
      <c r="H16" s="31">
        <v>0</v>
      </c>
      <c r="I16" s="103">
        <v>0</v>
      </c>
      <c r="J16" s="103">
        <v>0</v>
      </c>
      <c r="K16" s="103">
        <v>0</v>
      </c>
      <c r="L16" s="54">
        <v>0</v>
      </c>
      <c r="M16" s="54">
        <f>I16-L16</f>
        <v>0</v>
      </c>
    </row>
    <row r="17" spans="1:13" hidden="1" x14ac:dyDescent="0.2">
      <c r="A17" s="31" t="s">
        <v>136</v>
      </c>
      <c r="B17" s="104">
        <v>9000</v>
      </c>
      <c r="C17" s="104" t="s">
        <v>12</v>
      </c>
      <c r="D17" s="104" t="s">
        <v>12</v>
      </c>
      <c r="E17" s="104" t="s">
        <v>12</v>
      </c>
      <c r="F17" s="104" t="s">
        <v>12</v>
      </c>
      <c r="G17" s="104" t="s">
        <v>12</v>
      </c>
      <c r="H17" s="104" t="s">
        <v>12</v>
      </c>
      <c r="I17" s="32">
        <f>SUM(I16:I16)</f>
        <v>0</v>
      </c>
      <c r="J17" s="32">
        <f>SUM(J16:J16)</f>
        <v>0</v>
      </c>
      <c r="K17" s="32">
        <f>SUM(K16:K16)</f>
        <v>0</v>
      </c>
      <c r="L17" s="55">
        <f>SUM(L16)</f>
        <v>0</v>
      </c>
      <c r="M17" s="55">
        <f>SUM(M16)</f>
        <v>0</v>
      </c>
    </row>
    <row r="18" spans="1:13" x14ac:dyDescent="0.2">
      <c r="L18" s="56">
        <f>L17+L9</f>
        <v>0</v>
      </c>
      <c r="M18" s="56">
        <f>M17+M9</f>
        <v>0</v>
      </c>
    </row>
  </sheetData>
  <mergeCells count="10">
    <mergeCell ref="A4:A6"/>
    <mergeCell ref="B4:B6"/>
    <mergeCell ref="C4:E4"/>
    <mergeCell ref="F4:H4"/>
    <mergeCell ref="I4:K4"/>
    <mergeCell ref="A12:A14"/>
    <mergeCell ref="B12:B14"/>
    <mergeCell ref="C12:E12"/>
    <mergeCell ref="F12:H12"/>
    <mergeCell ref="I12:K12"/>
  </mergeCells>
  <pageMargins left="0.7" right="0.7" top="0.75" bottom="0.75" header="0.3" footer="0.3"/>
  <pageSetup paperSize="9" scale="71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  <pageSetUpPr fitToPage="1"/>
  </sheetPr>
  <dimension ref="A1:O75"/>
  <sheetViews>
    <sheetView view="pageBreakPreview" zoomScaleNormal="80" zoomScaleSheetLayoutView="100" workbookViewId="0">
      <selection activeCell="J57" sqref="J57"/>
    </sheetView>
  </sheetViews>
  <sheetFormatPr defaultColWidth="9.140625" defaultRowHeight="12.75" x14ac:dyDescent="0.2"/>
  <cols>
    <col min="1" max="1" width="33.28515625" style="30" customWidth="1"/>
    <col min="2" max="2" width="8.7109375" style="30" customWidth="1"/>
    <col min="3" max="3" width="14.85546875" style="30" customWidth="1"/>
    <col min="4" max="4" width="13.85546875" style="30" customWidth="1"/>
    <col min="5" max="5" width="13.85546875" style="30" hidden="1" customWidth="1"/>
    <col min="6" max="7" width="13.5703125" style="30" hidden="1" customWidth="1"/>
    <col min="8" max="8" width="13.7109375" style="30" customWidth="1"/>
    <col min="9" max="9" width="13.85546875" style="30" customWidth="1"/>
    <col min="10" max="10" width="13.140625" style="30" customWidth="1"/>
    <col min="11" max="11" width="14.140625" style="30" customWidth="1"/>
    <col min="12" max="13" width="13.85546875" style="30" customWidth="1"/>
    <col min="14" max="15" width="15.85546875" style="30" customWidth="1"/>
    <col min="16" max="16384" width="9.140625" style="30"/>
  </cols>
  <sheetData>
    <row r="1" spans="1:15" x14ac:dyDescent="0.2">
      <c r="A1" s="246" t="s">
        <v>255</v>
      </c>
      <c r="B1" s="246"/>
      <c r="C1" s="246"/>
      <c r="D1" s="246"/>
      <c r="E1" s="246"/>
      <c r="F1" s="246"/>
      <c r="G1" s="246"/>
      <c r="H1" s="246"/>
      <c r="I1" s="246"/>
      <c r="J1" s="246"/>
      <c r="K1" s="246"/>
      <c r="L1" s="246"/>
      <c r="M1" s="246"/>
    </row>
    <row r="2" spans="1:15" x14ac:dyDescent="0.2">
      <c r="A2" s="106"/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</row>
    <row r="3" spans="1:15" x14ac:dyDescent="0.2">
      <c r="A3" s="246" t="s">
        <v>256</v>
      </c>
      <c r="B3" s="246"/>
      <c r="C3" s="246"/>
      <c r="D3" s="246"/>
      <c r="E3" s="246"/>
      <c r="F3" s="246"/>
      <c r="G3" s="246"/>
      <c r="H3" s="246"/>
      <c r="I3" s="246"/>
      <c r="J3" s="246"/>
      <c r="K3" s="246"/>
      <c r="L3" s="246"/>
      <c r="M3" s="246"/>
    </row>
    <row r="6" spans="1:15" ht="12.75" customHeight="1" x14ac:dyDescent="0.2">
      <c r="A6" s="239" t="s">
        <v>0</v>
      </c>
      <c r="B6" s="258" t="s">
        <v>1</v>
      </c>
      <c r="C6" s="258" t="s">
        <v>116</v>
      </c>
      <c r="D6" s="260"/>
      <c r="E6" s="260"/>
      <c r="F6" s="260"/>
      <c r="G6" s="260"/>
      <c r="H6" s="260"/>
      <c r="I6" s="260"/>
      <c r="J6" s="260"/>
      <c r="K6" s="260"/>
      <c r="L6" s="260"/>
      <c r="M6" s="260"/>
      <c r="N6" s="260"/>
      <c r="O6" s="82"/>
    </row>
    <row r="7" spans="1:15" ht="15" customHeight="1" x14ac:dyDescent="0.2">
      <c r="A7" s="240"/>
      <c r="B7" s="259"/>
      <c r="C7" s="259" t="s">
        <v>353</v>
      </c>
      <c r="D7" s="261"/>
      <c r="E7" s="261"/>
      <c r="F7" s="261"/>
      <c r="G7" s="261"/>
      <c r="H7" s="261"/>
      <c r="I7" s="261"/>
      <c r="J7" s="261"/>
      <c r="K7" s="261"/>
      <c r="L7" s="261"/>
      <c r="M7" s="261"/>
      <c r="N7" s="261"/>
      <c r="O7" s="83"/>
    </row>
    <row r="8" spans="1:15" ht="12.75" customHeight="1" x14ac:dyDescent="0.2">
      <c r="A8" s="240"/>
      <c r="B8" s="259"/>
      <c r="C8" s="262" t="s">
        <v>79</v>
      </c>
      <c r="D8" s="263"/>
      <c r="E8" s="263"/>
      <c r="F8" s="263"/>
      <c r="G8" s="263"/>
      <c r="H8" s="263"/>
      <c r="I8" s="263"/>
      <c r="J8" s="263"/>
      <c r="K8" s="263"/>
      <c r="L8" s="263"/>
      <c r="M8" s="263"/>
      <c r="N8" s="263"/>
      <c r="O8" s="84"/>
    </row>
    <row r="9" spans="1:15" ht="102.75" customHeight="1" x14ac:dyDescent="0.2">
      <c r="A9" s="241"/>
      <c r="B9" s="241"/>
      <c r="C9" s="105" t="s">
        <v>298</v>
      </c>
      <c r="D9" s="94" t="s">
        <v>462</v>
      </c>
      <c r="E9" s="94" t="s">
        <v>495</v>
      </c>
      <c r="F9" s="94" t="s">
        <v>463</v>
      </c>
      <c r="G9" s="94" t="s">
        <v>504</v>
      </c>
      <c r="H9" s="94" t="s">
        <v>464</v>
      </c>
      <c r="I9" s="94" t="s">
        <v>465</v>
      </c>
      <c r="J9" s="94" t="s">
        <v>466</v>
      </c>
      <c r="K9" s="94" t="s">
        <v>467</v>
      </c>
      <c r="L9" s="94" t="s">
        <v>468</v>
      </c>
      <c r="M9" s="94" t="s">
        <v>469</v>
      </c>
      <c r="N9" s="94" t="s">
        <v>470</v>
      </c>
      <c r="O9" s="94" t="s">
        <v>471</v>
      </c>
    </row>
    <row r="10" spans="1:15" x14ac:dyDescent="0.2">
      <c r="A10" s="104">
        <v>1</v>
      </c>
      <c r="B10" s="104">
        <f t="shared" ref="B10:O10" si="0">A10+1</f>
        <v>2</v>
      </c>
      <c r="C10" s="104">
        <f t="shared" si="0"/>
        <v>3</v>
      </c>
      <c r="D10" s="104">
        <f t="shared" si="0"/>
        <v>4</v>
      </c>
      <c r="E10" s="104">
        <f t="shared" si="0"/>
        <v>5</v>
      </c>
      <c r="F10" s="104">
        <f t="shared" si="0"/>
        <v>6</v>
      </c>
      <c r="G10" s="104">
        <f t="shared" si="0"/>
        <v>7</v>
      </c>
      <c r="H10" s="104">
        <f t="shared" si="0"/>
        <v>8</v>
      </c>
      <c r="I10" s="104">
        <f t="shared" si="0"/>
        <v>9</v>
      </c>
      <c r="J10" s="104">
        <f t="shared" si="0"/>
        <v>10</v>
      </c>
      <c r="K10" s="104">
        <f t="shared" si="0"/>
        <v>11</v>
      </c>
      <c r="L10" s="104">
        <f t="shared" si="0"/>
        <v>12</v>
      </c>
      <c r="M10" s="104">
        <f t="shared" si="0"/>
        <v>13</v>
      </c>
      <c r="N10" s="104">
        <f t="shared" si="0"/>
        <v>14</v>
      </c>
      <c r="O10" s="104">
        <f t="shared" si="0"/>
        <v>15</v>
      </c>
    </row>
    <row r="11" spans="1:15" ht="76.5" x14ac:dyDescent="0.2">
      <c r="A11" s="31" t="s">
        <v>240</v>
      </c>
      <c r="B11" s="104">
        <v>100</v>
      </c>
      <c r="C11" s="79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</row>
    <row r="12" spans="1:15" ht="51" x14ac:dyDescent="0.2">
      <c r="A12" s="31" t="s">
        <v>241</v>
      </c>
      <c r="B12" s="104">
        <v>200</v>
      </c>
      <c r="C12" s="79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</row>
    <row r="13" spans="1:15" ht="25.5" x14ac:dyDescent="0.2">
      <c r="A13" s="31" t="s">
        <v>242</v>
      </c>
      <c r="B13" s="104">
        <v>300</v>
      </c>
      <c r="C13" s="52">
        <f>SUM(C14:C24)</f>
        <v>11451238.059999999</v>
      </c>
      <c r="D13" s="52">
        <f>SUM(D14:D24)</f>
        <v>6495235</v>
      </c>
      <c r="E13" s="52">
        <f t="shared" ref="E13:O13" si="1">SUM(E14:E24)</f>
        <v>0</v>
      </c>
      <c r="F13" s="52">
        <f t="shared" si="1"/>
        <v>0</v>
      </c>
      <c r="G13" s="52">
        <f t="shared" si="1"/>
        <v>0</v>
      </c>
      <c r="H13" s="52">
        <f t="shared" si="1"/>
        <v>90000</v>
      </c>
      <c r="I13" s="52">
        <f t="shared" si="1"/>
        <v>244360</v>
      </c>
      <c r="J13" s="52">
        <f t="shared" si="1"/>
        <v>103636</v>
      </c>
      <c r="K13" s="52">
        <f t="shared" si="1"/>
        <v>67200</v>
      </c>
      <c r="L13" s="52">
        <f t="shared" si="1"/>
        <v>3124968</v>
      </c>
      <c r="M13" s="52">
        <f t="shared" si="1"/>
        <v>726041</v>
      </c>
      <c r="N13" s="52">
        <f t="shared" si="1"/>
        <v>184276.34</v>
      </c>
      <c r="O13" s="52">
        <f t="shared" si="1"/>
        <v>415521.72</v>
      </c>
    </row>
    <row r="14" spans="1:15" ht="15" customHeight="1" x14ac:dyDescent="0.2">
      <c r="A14" s="31" t="s">
        <v>15</v>
      </c>
      <c r="B14" s="85"/>
      <c r="C14" s="52">
        <f>SUM(D14:O14)</f>
        <v>0</v>
      </c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</row>
    <row r="15" spans="1:15" x14ac:dyDescent="0.2">
      <c r="A15" s="31" t="s">
        <v>243</v>
      </c>
      <c r="B15" s="107">
        <v>301</v>
      </c>
      <c r="C15" s="52">
        <f>SUM(D15:O15)</f>
        <v>44400</v>
      </c>
      <c r="D15" s="35"/>
      <c r="E15" s="35"/>
      <c r="F15" s="35"/>
      <c r="G15" s="35"/>
      <c r="H15" s="35"/>
      <c r="I15" s="35">
        <f>'3.13.2(221)'!L6</f>
        <v>20400</v>
      </c>
      <c r="J15" s="35">
        <f>'3.13.2(221)'!L7</f>
        <v>24000</v>
      </c>
      <c r="K15" s="35"/>
      <c r="L15" s="35"/>
      <c r="M15" s="35"/>
      <c r="N15" s="35"/>
      <c r="O15" s="35"/>
    </row>
    <row r="16" spans="1:15" x14ac:dyDescent="0.2">
      <c r="A16" s="31" t="s">
        <v>244</v>
      </c>
      <c r="B16" s="104">
        <v>302</v>
      </c>
      <c r="C16" s="52">
        <f t="shared" ref="C16:C23" si="2">SUM(D16:O16)</f>
        <v>0</v>
      </c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</row>
    <row r="17" spans="1:15" x14ac:dyDescent="0.2">
      <c r="A17" s="31" t="s">
        <v>245</v>
      </c>
      <c r="B17" s="104">
        <v>303</v>
      </c>
      <c r="C17" s="52">
        <f t="shared" si="2"/>
        <v>2835891.3200000003</v>
      </c>
      <c r="D17" s="35">
        <f>'3.13.4(223)'!I23</f>
        <v>2835891.3200000003</v>
      </c>
      <c r="E17" s="35"/>
      <c r="F17" s="35">
        <f>'3.13.4(223)'!I31</f>
        <v>0</v>
      </c>
      <c r="G17" s="35"/>
      <c r="H17" s="35"/>
      <c r="I17" s="35"/>
      <c r="J17" s="35"/>
      <c r="K17" s="35"/>
      <c r="L17" s="35"/>
      <c r="M17" s="35"/>
      <c r="N17" s="35"/>
      <c r="O17" s="35"/>
    </row>
    <row r="18" spans="1:15" x14ac:dyDescent="0.2">
      <c r="A18" s="31" t="s">
        <v>246</v>
      </c>
      <c r="B18" s="104">
        <v>304</v>
      </c>
      <c r="C18" s="52">
        <f t="shared" si="2"/>
        <v>0</v>
      </c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</row>
    <row r="19" spans="1:15" x14ac:dyDescent="0.2">
      <c r="A19" s="31" t="s">
        <v>247</v>
      </c>
      <c r="B19" s="104">
        <v>305</v>
      </c>
      <c r="C19" s="52">
        <f t="shared" si="2"/>
        <v>629678.17999999993</v>
      </c>
      <c r="D19" s="35">
        <f>'3.13.6(225)'!I27</f>
        <v>491193.68</v>
      </c>
      <c r="E19" s="35"/>
      <c r="F19" s="35"/>
      <c r="G19" s="35"/>
      <c r="H19" s="35"/>
      <c r="I19" s="35">
        <f>'3.13.6(225)'!I36</f>
        <v>22000</v>
      </c>
      <c r="J19" s="35">
        <f>'3.13.6(225)'!I44</f>
        <v>6000</v>
      </c>
      <c r="K19" s="35"/>
      <c r="L19" s="35"/>
      <c r="M19" s="35">
        <f>'3.13.6(225)'!I55</f>
        <v>110484.5</v>
      </c>
      <c r="N19" s="35"/>
      <c r="O19" s="35"/>
    </row>
    <row r="20" spans="1:15" x14ac:dyDescent="0.2">
      <c r="A20" s="31" t="s">
        <v>248</v>
      </c>
      <c r="B20" s="104">
        <v>306</v>
      </c>
      <c r="C20" s="52">
        <f t="shared" si="2"/>
        <v>0</v>
      </c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</row>
    <row r="21" spans="1:15" ht="25.5" x14ac:dyDescent="0.2">
      <c r="A21" s="31" t="s">
        <v>249</v>
      </c>
      <c r="B21" s="104">
        <v>307</v>
      </c>
      <c r="C21" s="52">
        <f t="shared" si="2"/>
        <v>0</v>
      </c>
      <c r="D21" s="35"/>
      <c r="E21" s="35"/>
      <c r="F21" s="35"/>
      <c r="G21" s="35"/>
      <c r="H21" s="35"/>
      <c r="I21" s="35"/>
      <c r="J21" s="35">
        <f>'3.13.8(обуч)'!I9</f>
        <v>0</v>
      </c>
      <c r="K21" s="35"/>
      <c r="L21" s="35"/>
      <c r="M21" s="35"/>
      <c r="N21" s="35"/>
      <c r="O21" s="35"/>
    </row>
    <row r="22" spans="1:15" x14ac:dyDescent="0.2">
      <c r="A22" s="31" t="s">
        <v>307</v>
      </c>
      <c r="B22" s="104">
        <v>308</v>
      </c>
      <c r="C22" s="52">
        <f t="shared" si="2"/>
        <v>568510</v>
      </c>
      <c r="D22" s="35">
        <f>'3.13.9(226)'!F28</f>
        <v>370350</v>
      </c>
      <c r="E22" s="35"/>
      <c r="F22" s="35"/>
      <c r="G22" s="35"/>
      <c r="H22" s="35"/>
      <c r="I22" s="35">
        <f>'3.13.9(226)'!F50</f>
        <v>142960</v>
      </c>
      <c r="J22" s="35">
        <f>'3.13.9(226)'!F38</f>
        <v>55200</v>
      </c>
      <c r="K22" s="35"/>
      <c r="L22" s="35"/>
      <c r="M22" s="35">
        <f>'3.13.9(226)'!F59</f>
        <v>0</v>
      </c>
      <c r="N22" s="35"/>
      <c r="O22" s="35"/>
    </row>
    <row r="23" spans="1:15" ht="25.5" x14ac:dyDescent="0.2">
      <c r="A23" s="31" t="s">
        <v>250</v>
      </c>
      <c r="B23" s="104">
        <v>309</v>
      </c>
      <c r="C23" s="52">
        <f t="shared" si="2"/>
        <v>1057944.22</v>
      </c>
      <c r="D23" s="35"/>
      <c r="E23" s="35">
        <f>'3.13.10(310)'!I66</f>
        <v>0</v>
      </c>
      <c r="F23" s="35">
        <f>'3.13.10(310)'!I74</f>
        <v>0</v>
      </c>
      <c r="G23" s="35">
        <f>'3.13.10(310)'!I82</f>
        <v>0</v>
      </c>
      <c r="H23" s="35">
        <f>'3.13.10(310)'!I11</f>
        <v>90000</v>
      </c>
      <c r="I23" s="35"/>
      <c r="J23" s="35"/>
      <c r="K23" s="35"/>
      <c r="L23" s="35"/>
      <c r="M23" s="35">
        <f>'3.13.10(310)'!I54</f>
        <v>552422.5</v>
      </c>
      <c r="N23" s="35"/>
      <c r="O23" s="35">
        <f>'3.13.10(310)'!I24</f>
        <v>415521.72</v>
      </c>
    </row>
    <row r="24" spans="1:15" x14ac:dyDescent="0.2">
      <c r="A24" s="31" t="s">
        <v>251</v>
      </c>
      <c r="B24" s="104">
        <v>310</v>
      </c>
      <c r="C24" s="52">
        <f>SUM(D24:O24)</f>
        <v>6314814.3399999999</v>
      </c>
      <c r="D24" s="35">
        <f>'3.13.11(340)'!I21</f>
        <v>2797800</v>
      </c>
      <c r="E24" s="35">
        <f>'3.13.11(340)'!I84</f>
        <v>0</v>
      </c>
      <c r="F24" s="35"/>
      <c r="G24" s="35">
        <f>'3.13.11(340)'!I92</f>
        <v>0</v>
      </c>
      <c r="H24" s="35"/>
      <c r="I24" s="35">
        <f>'3.13.11(340)'!I34</f>
        <v>59000</v>
      </c>
      <c r="J24" s="35">
        <f>'3.13.11(340)'!I43</f>
        <v>18436</v>
      </c>
      <c r="K24" s="35">
        <f>'3.13.11(340)'!I51</f>
        <v>67200</v>
      </c>
      <c r="L24" s="35">
        <f>'3.13.11(340)'!I59</f>
        <v>3124968</v>
      </c>
      <c r="M24" s="35">
        <f>'3.13.11(340)'!I76</f>
        <v>63134</v>
      </c>
      <c r="N24" s="35">
        <f>'3.13.11(340)'!I67</f>
        <v>184276.34</v>
      </c>
      <c r="O24" s="35">
        <f>'3.13.11(340)'!K92</f>
        <v>0</v>
      </c>
    </row>
    <row r="25" spans="1:15" ht="76.5" x14ac:dyDescent="0.2">
      <c r="A25" s="31" t="s">
        <v>252</v>
      </c>
      <c r="B25" s="104">
        <v>400</v>
      </c>
      <c r="C25" s="79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</row>
    <row r="26" spans="1:15" ht="51" x14ac:dyDescent="0.2">
      <c r="A26" s="31" t="s">
        <v>253</v>
      </c>
      <c r="B26" s="104">
        <v>500</v>
      </c>
      <c r="C26" s="79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</row>
    <row r="27" spans="1:15" ht="38.25" x14ac:dyDescent="0.2">
      <c r="A27" s="31" t="s">
        <v>254</v>
      </c>
      <c r="B27" s="104">
        <v>600</v>
      </c>
      <c r="C27" s="86">
        <f>C11-C12+C13-C25+C26</f>
        <v>11451238.059999999</v>
      </c>
      <c r="D27" s="86">
        <f t="shared" ref="D27:N27" si="3">D11-D12+D13-D25+D26</f>
        <v>6495235</v>
      </c>
      <c r="E27" s="86">
        <f t="shared" si="3"/>
        <v>0</v>
      </c>
      <c r="F27" s="86">
        <f>F11-F12+F13-F25+F26</f>
        <v>0</v>
      </c>
      <c r="G27" s="86">
        <f>G11-G12+G13-G25+G26</f>
        <v>0</v>
      </c>
      <c r="H27" s="86">
        <f>H11-H12+H13-H25+H26</f>
        <v>90000</v>
      </c>
      <c r="I27" s="86">
        <f>I11-I12+I13-I25+I26</f>
        <v>244360</v>
      </c>
      <c r="J27" s="86">
        <f t="shared" si="3"/>
        <v>103636</v>
      </c>
      <c r="K27" s="86">
        <f t="shared" si="3"/>
        <v>67200</v>
      </c>
      <c r="L27" s="86">
        <f t="shared" si="3"/>
        <v>3124968</v>
      </c>
      <c r="M27" s="86">
        <f t="shared" si="3"/>
        <v>726041</v>
      </c>
      <c r="N27" s="86">
        <f t="shared" si="3"/>
        <v>184276.34</v>
      </c>
      <c r="O27" s="86">
        <f>O11-O12+O13-O25+O26</f>
        <v>415521.72</v>
      </c>
    </row>
    <row r="30" spans="1:15" x14ac:dyDescent="0.2">
      <c r="A30" s="239" t="s">
        <v>0</v>
      </c>
      <c r="B30" s="258" t="s">
        <v>1</v>
      </c>
      <c r="C30" s="258" t="s">
        <v>116</v>
      </c>
      <c r="D30" s="260"/>
      <c r="E30" s="260"/>
      <c r="F30" s="260"/>
      <c r="G30" s="260"/>
      <c r="H30" s="260"/>
      <c r="I30" s="260"/>
      <c r="J30" s="260"/>
      <c r="K30" s="260"/>
      <c r="L30" s="260"/>
      <c r="M30" s="260"/>
      <c r="N30" s="260"/>
      <c r="O30" s="82"/>
    </row>
    <row r="31" spans="1:15" x14ac:dyDescent="0.2">
      <c r="A31" s="240"/>
      <c r="B31" s="259"/>
      <c r="C31" s="259" t="s">
        <v>541</v>
      </c>
      <c r="D31" s="261"/>
      <c r="E31" s="261"/>
      <c r="F31" s="261"/>
      <c r="G31" s="261"/>
      <c r="H31" s="261"/>
      <c r="I31" s="261"/>
      <c r="J31" s="261"/>
      <c r="K31" s="261"/>
      <c r="L31" s="261"/>
      <c r="M31" s="261"/>
      <c r="N31" s="261"/>
      <c r="O31" s="83"/>
    </row>
    <row r="32" spans="1:15" ht="12.75" customHeight="1" x14ac:dyDescent="0.2">
      <c r="A32" s="240"/>
      <c r="B32" s="259"/>
      <c r="C32" s="262" t="s">
        <v>80</v>
      </c>
      <c r="D32" s="263"/>
      <c r="E32" s="263"/>
      <c r="F32" s="263"/>
      <c r="G32" s="263"/>
      <c r="H32" s="263"/>
      <c r="I32" s="263"/>
      <c r="J32" s="263"/>
      <c r="K32" s="263"/>
      <c r="L32" s="263"/>
      <c r="M32" s="263"/>
      <c r="N32" s="263"/>
      <c r="O32" s="84"/>
    </row>
    <row r="33" spans="1:15" ht="86.25" customHeight="1" x14ac:dyDescent="0.2">
      <c r="A33" s="241"/>
      <c r="B33" s="241"/>
      <c r="C33" s="105" t="str">
        <f t="shared" ref="C33:M33" si="4">C9</f>
        <v>ВСЕГО</v>
      </c>
      <c r="D33" s="105" t="str">
        <f t="shared" si="4"/>
        <v>0701 0210080610 621</v>
      </c>
      <c r="E33" s="94" t="str">
        <f>E9</f>
        <v>0701 0210080610 622</v>
      </c>
      <c r="F33" s="105" t="str">
        <f>F9</f>
        <v>0701 021R373980 622</v>
      </c>
      <c r="G33" s="94" t="str">
        <f>G9</f>
        <v>0701 1210086700 622</v>
      </c>
      <c r="H33" s="105" t="str">
        <f t="shared" si="4"/>
        <v>0701 0210075880 622</v>
      </c>
      <c r="I33" s="105" t="str">
        <f t="shared" si="4"/>
        <v>0701 0210075880 621</v>
      </c>
      <c r="J33" s="105" t="str">
        <f t="shared" si="4"/>
        <v>0701 0210074080 621</v>
      </c>
      <c r="K33" s="105" t="str">
        <f t="shared" si="4"/>
        <v>0701 0210075540 622</v>
      </c>
      <c r="L33" s="105" t="str">
        <f t="shared" si="4"/>
        <v>0701 4200099000 849</v>
      </c>
      <c r="M33" s="105" t="str">
        <f t="shared" si="4"/>
        <v>0701 4200099000 853</v>
      </c>
      <c r="N33" s="105" t="str">
        <f>N9</f>
        <v>0701 4200099000 849                          (остаток на начало текущего финансового года)</v>
      </c>
      <c r="O33" s="105" t="str">
        <f>O9</f>
        <v>0701 4200099000 853                 (остаток на начало текущего финансового года)</v>
      </c>
    </row>
    <row r="34" spans="1:15" x14ac:dyDescent="0.2">
      <c r="A34" s="104">
        <v>1</v>
      </c>
      <c r="B34" s="104">
        <f t="shared" ref="B34:O34" si="5">A34+1</f>
        <v>2</v>
      </c>
      <c r="C34" s="104">
        <f t="shared" si="5"/>
        <v>3</v>
      </c>
      <c r="D34" s="104">
        <f t="shared" si="5"/>
        <v>4</v>
      </c>
      <c r="E34" s="104">
        <f t="shared" si="5"/>
        <v>5</v>
      </c>
      <c r="F34" s="104">
        <f t="shared" si="5"/>
        <v>6</v>
      </c>
      <c r="G34" s="104">
        <f t="shared" si="5"/>
        <v>7</v>
      </c>
      <c r="H34" s="104">
        <f t="shared" si="5"/>
        <v>8</v>
      </c>
      <c r="I34" s="104">
        <f t="shared" si="5"/>
        <v>9</v>
      </c>
      <c r="J34" s="104">
        <f t="shared" si="5"/>
        <v>10</v>
      </c>
      <c r="K34" s="104">
        <f t="shared" si="5"/>
        <v>11</v>
      </c>
      <c r="L34" s="104">
        <f t="shared" si="5"/>
        <v>12</v>
      </c>
      <c r="M34" s="104">
        <f t="shared" si="5"/>
        <v>13</v>
      </c>
      <c r="N34" s="104">
        <f t="shared" si="5"/>
        <v>14</v>
      </c>
      <c r="O34" s="104">
        <f t="shared" si="5"/>
        <v>15</v>
      </c>
    </row>
    <row r="35" spans="1:15" ht="76.5" x14ac:dyDescent="0.2">
      <c r="A35" s="31" t="s">
        <v>240</v>
      </c>
      <c r="B35" s="104">
        <v>100</v>
      </c>
      <c r="C35" s="104"/>
      <c r="D35" s="103"/>
      <c r="E35" s="103"/>
      <c r="F35" s="103"/>
      <c r="G35" s="103"/>
      <c r="H35" s="103"/>
      <c r="I35" s="103"/>
      <c r="J35" s="103"/>
      <c r="K35" s="103"/>
      <c r="L35" s="103"/>
      <c r="M35" s="103"/>
      <c r="N35" s="103"/>
      <c r="O35" s="103"/>
    </row>
    <row r="36" spans="1:15" ht="51" x14ac:dyDescent="0.2">
      <c r="A36" s="31" t="s">
        <v>241</v>
      </c>
      <c r="B36" s="104">
        <v>200</v>
      </c>
      <c r="C36" s="104"/>
      <c r="D36" s="103"/>
      <c r="E36" s="103"/>
      <c r="F36" s="103"/>
      <c r="G36" s="103"/>
      <c r="H36" s="103"/>
      <c r="I36" s="103"/>
      <c r="J36" s="103"/>
      <c r="K36" s="103"/>
      <c r="L36" s="103"/>
      <c r="M36" s="103"/>
      <c r="N36" s="103"/>
      <c r="O36" s="103"/>
    </row>
    <row r="37" spans="1:15" ht="25.5" x14ac:dyDescent="0.2">
      <c r="A37" s="31" t="s">
        <v>242</v>
      </c>
      <c r="B37" s="104">
        <v>300</v>
      </c>
      <c r="C37" s="52">
        <f t="shared" ref="C37:C48" si="6">SUM(D37:O37)</f>
        <v>10851440</v>
      </c>
      <c r="D37" s="52">
        <f>SUM(D38:D48)</f>
        <v>6495235</v>
      </c>
      <c r="E37" s="87">
        <f>SUM(E38:E48)</f>
        <v>0</v>
      </c>
      <c r="F37" s="87">
        <f>SUM(F38:F48)</f>
        <v>0</v>
      </c>
      <c r="G37" s="87">
        <f>SUM(G38:G48)</f>
        <v>0</v>
      </c>
      <c r="H37" s="52">
        <f t="shared" ref="H37:M37" si="7">SUM(H38:H48)</f>
        <v>90000</v>
      </c>
      <c r="I37" s="52">
        <f t="shared" si="7"/>
        <v>244360</v>
      </c>
      <c r="J37" s="52">
        <f t="shared" si="7"/>
        <v>103636</v>
      </c>
      <c r="K37" s="52">
        <f t="shared" si="7"/>
        <v>67200</v>
      </c>
      <c r="L37" s="52">
        <f t="shared" si="7"/>
        <v>3124968</v>
      </c>
      <c r="M37" s="52">
        <f t="shared" si="7"/>
        <v>726041</v>
      </c>
      <c r="N37" s="87">
        <f>SUM(N38:N48)</f>
        <v>0</v>
      </c>
      <c r="O37" s="87">
        <f>SUM(O38:O48)</f>
        <v>0</v>
      </c>
    </row>
    <row r="38" spans="1:15" ht="15" customHeight="1" x14ac:dyDescent="0.2">
      <c r="A38" s="31" t="s">
        <v>15</v>
      </c>
      <c r="B38" s="256">
        <v>301</v>
      </c>
      <c r="C38" s="52">
        <f t="shared" si="6"/>
        <v>0</v>
      </c>
      <c r="D38" s="35">
        <f t="shared" ref="D38:M38" si="8">D14</f>
        <v>0</v>
      </c>
      <c r="E38" s="35"/>
      <c r="F38" s="35">
        <f>F14</f>
        <v>0</v>
      </c>
      <c r="G38" s="35"/>
      <c r="H38" s="35">
        <f t="shared" si="8"/>
        <v>0</v>
      </c>
      <c r="I38" s="35">
        <f t="shared" si="8"/>
        <v>0</v>
      </c>
      <c r="J38" s="35">
        <f t="shared" si="8"/>
        <v>0</v>
      </c>
      <c r="K38" s="35">
        <f t="shared" si="8"/>
        <v>0</v>
      </c>
      <c r="L38" s="35">
        <f t="shared" si="8"/>
        <v>0</v>
      </c>
      <c r="M38" s="35">
        <f t="shared" si="8"/>
        <v>0</v>
      </c>
      <c r="N38" s="35">
        <f t="shared" ref="N38:O46" si="9">N14</f>
        <v>0</v>
      </c>
      <c r="O38" s="35">
        <f t="shared" si="9"/>
        <v>0</v>
      </c>
    </row>
    <row r="39" spans="1:15" x14ac:dyDescent="0.2">
      <c r="A39" s="31" t="s">
        <v>243</v>
      </c>
      <c r="B39" s="257"/>
      <c r="C39" s="52">
        <f t="shared" si="6"/>
        <v>44400</v>
      </c>
      <c r="D39" s="35">
        <f t="shared" ref="D39:M39" si="10">D15</f>
        <v>0</v>
      </c>
      <c r="E39" s="35"/>
      <c r="F39" s="35">
        <f>F15</f>
        <v>0</v>
      </c>
      <c r="G39" s="35"/>
      <c r="H39" s="35">
        <f t="shared" si="10"/>
        <v>0</v>
      </c>
      <c r="I39" s="35">
        <f>'3.13.2(221)'!M6</f>
        <v>20400</v>
      </c>
      <c r="J39" s="35">
        <f>'3.13.2(221)'!M7</f>
        <v>24000</v>
      </c>
      <c r="K39" s="35">
        <f t="shared" si="10"/>
        <v>0</v>
      </c>
      <c r="L39" s="35">
        <f t="shared" si="10"/>
        <v>0</v>
      </c>
      <c r="M39" s="35">
        <f t="shared" si="10"/>
        <v>0</v>
      </c>
      <c r="N39" s="35">
        <f t="shared" si="9"/>
        <v>0</v>
      </c>
      <c r="O39" s="35">
        <f t="shared" si="9"/>
        <v>0</v>
      </c>
    </row>
    <row r="40" spans="1:15" x14ac:dyDescent="0.2">
      <c r="A40" s="31" t="s">
        <v>244</v>
      </c>
      <c r="B40" s="104">
        <v>302</v>
      </c>
      <c r="C40" s="52">
        <f t="shared" si="6"/>
        <v>0</v>
      </c>
      <c r="D40" s="35">
        <f t="shared" ref="D40:M40" si="11">D16</f>
        <v>0</v>
      </c>
      <c r="E40" s="35"/>
      <c r="F40" s="35">
        <f>F16</f>
        <v>0</v>
      </c>
      <c r="G40" s="35"/>
      <c r="H40" s="35">
        <f t="shared" si="11"/>
        <v>0</v>
      </c>
      <c r="I40" s="35">
        <f t="shared" si="11"/>
        <v>0</v>
      </c>
      <c r="J40" s="35">
        <f t="shared" si="11"/>
        <v>0</v>
      </c>
      <c r="K40" s="35">
        <f t="shared" si="11"/>
        <v>0</v>
      </c>
      <c r="L40" s="35">
        <f t="shared" si="11"/>
        <v>0</v>
      </c>
      <c r="M40" s="35">
        <f t="shared" si="11"/>
        <v>0</v>
      </c>
      <c r="N40" s="35">
        <f t="shared" si="9"/>
        <v>0</v>
      </c>
      <c r="O40" s="35">
        <f t="shared" si="9"/>
        <v>0</v>
      </c>
    </row>
    <row r="41" spans="1:15" x14ac:dyDescent="0.2">
      <c r="A41" s="31" t="s">
        <v>245</v>
      </c>
      <c r="B41" s="104">
        <v>303</v>
      </c>
      <c r="C41" s="52">
        <f t="shared" si="6"/>
        <v>2835891.3200000003</v>
      </c>
      <c r="D41" s="35">
        <f>'3.13.4(223)'!J23</f>
        <v>2835891.3200000003</v>
      </c>
      <c r="E41" s="35"/>
      <c r="F41" s="35">
        <f>'3.13.4(223)'!J31</f>
        <v>0</v>
      </c>
      <c r="G41" s="35"/>
      <c r="H41" s="35">
        <f t="shared" ref="H41:M41" si="12">H17</f>
        <v>0</v>
      </c>
      <c r="I41" s="35">
        <f t="shared" si="12"/>
        <v>0</v>
      </c>
      <c r="J41" s="35">
        <f t="shared" si="12"/>
        <v>0</v>
      </c>
      <c r="K41" s="35">
        <f t="shared" si="12"/>
        <v>0</v>
      </c>
      <c r="L41" s="35">
        <f t="shared" si="12"/>
        <v>0</v>
      </c>
      <c r="M41" s="35">
        <f t="shared" si="12"/>
        <v>0</v>
      </c>
      <c r="N41" s="35">
        <f t="shared" si="9"/>
        <v>0</v>
      </c>
      <c r="O41" s="35">
        <f t="shared" si="9"/>
        <v>0</v>
      </c>
    </row>
    <row r="42" spans="1:15" x14ac:dyDescent="0.2">
      <c r="A42" s="31" t="s">
        <v>246</v>
      </c>
      <c r="B42" s="104">
        <v>304</v>
      </c>
      <c r="C42" s="52">
        <f t="shared" si="6"/>
        <v>0</v>
      </c>
      <c r="D42" s="35">
        <f t="shared" ref="D42:M42" si="13">D18</f>
        <v>0</v>
      </c>
      <c r="E42" s="35"/>
      <c r="F42" s="35">
        <f>F18</f>
        <v>0</v>
      </c>
      <c r="G42" s="35"/>
      <c r="H42" s="35">
        <f t="shared" si="13"/>
        <v>0</v>
      </c>
      <c r="I42" s="35">
        <f t="shared" si="13"/>
        <v>0</v>
      </c>
      <c r="J42" s="35">
        <f t="shared" si="13"/>
        <v>0</v>
      </c>
      <c r="K42" s="35">
        <f t="shared" si="13"/>
        <v>0</v>
      </c>
      <c r="L42" s="35">
        <f t="shared" si="13"/>
        <v>0</v>
      </c>
      <c r="M42" s="35">
        <f t="shared" si="13"/>
        <v>0</v>
      </c>
      <c r="N42" s="35">
        <f t="shared" si="9"/>
        <v>0</v>
      </c>
      <c r="O42" s="35">
        <f t="shared" si="9"/>
        <v>0</v>
      </c>
    </row>
    <row r="43" spans="1:15" x14ac:dyDescent="0.2">
      <c r="A43" s="31" t="s">
        <v>247</v>
      </c>
      <c r="B43" s="104">
        <v>305</v>
      </c>
      <c r="C43" s="52">
        <f t="shared" si="6"/>
        <v>1245234.68</v>
      </c>
      <c r="D43" s="35">
        <f>'3.13.6(225)'!J27</f>
        <v>491193.68</v>
      </c>
      <c r="E43" s="35"/>
      <c r="F43" s="35">
        <v>0</v>
      </c>
      <c r="G43" s="35"/>
      <c r="H43" s="35">
        <f>H19</f>
        <v>0</v>
      </c>
      <c r="I43" s="35">
        <f>'3.13.6(225)'!J36</f>
        <v>22000</v>
      </c>
      <c r="J43" s="35">
        <f>'3.13.6(225)'!J44</f>
        <v>6000</v>
      </c>
      <c r="K43" s="35">
        <f>K19</f>
        <v>0</v>
      </c>
      <c r="L43" s="35">
        <f>L19</f>
        <v>0</v>
      </c>
      <c r="M43" s="35">
        <f>'3.13.6(225)'!J55</f>
        <v>726041</v>
      </c>
      <c r="N43" s="35">
        <f t="shared" si="9"/>
        <v>0</v>
      </c>
      <c r="O43" s="35">
        <f t="shared" si="9"/>
        <v>0</v>
      </c>
    </row>
    <row r="44" spans="1:15" x14ac:dyDescent="0.2">
      <c r="A44" s="31" t="s">
        <v>248</v>
      </c>
      <c r="B44" s="104">
        <v>306</v>
      </c>
      <c r="C44" s="52">
        <f t="shared" si="6"/>
        <v>0</v>
      </c>
      <c r="D44" s="35">
        <f t="shared" ref="D44:M44" si="14">D20</f>
        <v>0</v>
      </c>
      <c r="E44" s="35"/>
      <c r="F44" s="35">
        <f>F20</f>
        <v>0</v>
      </c>
      <c r="G44" s="35"/>
      <c r="H44" s="35">
        <f t="shared" si="14"/>
        <v>0</v>
      </c>
      <c r="I44" s="35">
        <f t="shared" si="14"/>
        <v>0</v>
      </c>
      <c r="J44" s="35">
        <f t="shared" si="14"/>
        <v>0</v>
      </c>
      <c r="K44" s="35">
        <f t="shared" si="14"/>
        <v>0</v>
      </c>
      <c r="L44" s="35">
        <f t="shared" si="14"/>
        <v>0</v>
      </c>
      <c r="M44" s="35">
        <f t="shared" si="14"/>
        <v>0</v>
      </c>
      <c r="N44" s="35">
        <f t="shared" si="9"/>
        <v>0</v>
      </c>
      <c r="O44" s="35">
        <f t="shared" si="9"/>
        <v>0</v>
      </c>
    </row>
    <row r="45" spans="1:15" ht="25.5" x14ac:dyDescent="0.2">
      <c r="A45" s="31" t="s">
        <v>249</v>
      </c>
      <c r="B45" s="104">
        <v>307</v>
      </c>
      <c r="C45" s="52">
        <f t="shared" si="6"/>
        <v>0</v>
      </c>
      <c r="D45" s="35">
        <f t="shared" ref="D45:M45" si="15">D21</f>
        <v>0</v>
      </c>
      <c r="E45" s="35"/>
      <c r="F45" s="35">
        <f>F21</f>
        <v>0</v>
      </c>
      <c r="G45" s="35"/>
      <c r="H45" s="35">
        <f t="shared" si="15"/>
        <v>0</v>
      </c>
      <c r="I45" s="35">
        <f t="shared" si="15"/>
        <v>0</v>
      </c>
      <c r="J45" s="35">
        <f>'3.13.8(обуч)'!J9</f>
        <v>0</v>
      </c>
      <c r="K45" s="35">
        <f t="shared" si="15"/>
        <v>0</v>
      </c>
      <c r="L45" s="35">
        <f t="shared" si="15"/>
        <v>0</v>
      </c>
      <c r="M45" s="35">
        <f t="shared" si="15"/>
        <v>0</v>
      </c>
      <c r="N45" s="35">
        <f t="shared" si="9"/>
        <v>0</v>
      </c>
      <c r="O45" s="35">
        <f t="shared" si="9"/>
        <v>0</v>
      </c>
    </row>
    <row r="46" spans="1:15" x14ac:dyDescent="0.2">
      <c r="A46" s="31" t="s">
        <v>307</v>
      </c>
      <c r="B46" s="104">
        <v>308</v>
      </c>
      <c r="C46" s="52">
        <f t="shared" si="6"/>
        <v>568510</v>
      </c>
      <c r="D46" s="35">
        <f>'3.13.9(226)'!G28</f>
        <v>370350</v>
      </c>
      <c r="E46" s="35"/>
      <c r="F46" s="35">
        <v>0</v>
      </c>
      <c r="G46" s="35"/>
      <c r="H46" s="35">
        <f>H22</f>
        <v>0</v>
      </c>
      <c r="I46" s="35">
        <f>'3.13.9(226)'!G50</f>
        <v>142960</v>
      </c>
      <c r="J46" s="35">
        <f>'3.13.9(226)'!G38</f>
        <v>55200</v>
      </c>
      <c r="K46" s="35">
        <f>K22</f>
        <v>0</v>
      </c>
      <c r="L46" s="35">
        <f>L22</f>
        <v>0</v>
      </c>
      <c r="M46" s="35">
        <f>'3.13.9(226)'!G59</f>
        <v>0</v>
      </c>
      <c r="N46" s="35">
        <f t="shared" si="9"/>
        <v>0</v>
      </c>
      <c r="O46" s="35">
        <f t="shared" si="9"/>
        <v>0</v>
      </c>
    </row>
    <row r="47" spans="1:15" ht="25.5" x14ac:dyDescent="0.2">
      <c r="A47" s="31" t="s">
        <v>250</v>
      </c>
      <c r="B47" s="104">
        <v>309</v>
      </c>
      <c r="C47" s="52">
        <f t="shared" si="6"/>
        <v>90000</v>
      </c>
      <c r="D47" s="35">
        <f t="shared" ref="D47:L47" si="16">D23</f>
        <v>0</v>
      </c>
      <c r="E47" s="35">
        <f>'3.13.10(310)'!J66</f>
        <v>0</v>
      </c>
      <c r="F47" s="35"/>
      <c r="G47" s="35"/>
      <c r="H47" s="35">
        <f t="shared" si="16"/>
        <v>90000</v>
      </c>
      <c r="I47" s="35">
        <f t="shared" si="16"/>
        <v>0</v>
      </c>
      <c r="J47" s="35">
        <f t="shared" si="16"/>
        <v>0</v>
      </c>
      <c r="K47" s="35">
        <f t="shared" si="16"/>
        <v>0</v>
      </c>
      <c r="L47" s="35">
        <f t="shared" si="16"/>
        <v>0</v>
      </c>
      <c r="M47" s="35">
        <f>'3.13.10(310)'!J54</f>
        <v>0</v>
      </c>
      <c r="N47" s="35">
        <f>N23</f>
        <v>0</v>
      </c>
      <c r="O47" s="35">
        <f>'3.13.10(310)'!J24</f>
        <v>0</v>
      </c>
    </row>
    <row r="48" spans="1:15" x14ac:dyDescent="0.2">
      <c r="A48" s="31" t="s">
        <v>251</v>
      </c>
      <c r="B48" s="104">
        <v>310</v>
      </c>
      <c r="C48" s="52">
        <f t="shared" si="6"/>
        <v>6067404</v>
      </c>
      <c r="D48" s="35">
        <f>'3.13.11(340)'!J21</f>
        <v>2797800</v>
      </c>
      <c r="E48" s="35">
        <f>'3.13.11(340)'!J84</f>
        <v>0</v>
      </c>
      <c r="F48" s="35">
        <v>0</v>
      </c>
      <c r="G48" s="35">
        <f>'3.13.11(340)'!J92</f>
        <v>0</v>
      </c>
      <c r="H48" s="35">
        <f>H24</f>
        <v>0</v>
      </c>
      <c r="I48" s="35">
        <f>'3.13.11(340)'!J34</f>
        <v>59000</v>
      </c>
      <c r="J48" s="35">
        <f>'3.13.11(340)'!J43</f>
        <v>18436</v>
      </c>
      <c r="K48" s="35">
        <f>'3.13.11(340)'!J51</f>
        <v>67200</v>
      </c>
      <c r="L48" s="35">
        <f>'3.13.11(340)'!J59</f>
        <v>3124968</v>
      </c>
      <c r="M48" s="35">
        <f>'3.13.11(340)'!J76</f>
        <v>0</v>
      </c>
      <c r="N48" s="35">
        <f>'3.13.11(340)'!J67</f>
        <v>0</v>
      </c>
      <c r="O48" s="35"/>
    </row>
    <row r="49" spans="1:15" ht="76.5" x14ac:dyDescent="0.2">
      <c r="A49" s="31" t="s">
        <v>252</v>
      </c>
      <c r="B49" s="104">
        <v>400</v>
      </c>
      <c r="C49" s="104"/>
      <c r="D49" s="103"/>
      <c r="E49" s="103"/>
      <c r="F49" s="103"/>
      <c r="G49" s="103"/>
      <c r="H49" s="103"/>
      <c r="I49" s="103"/>
      <c r="J49" s="103"/>
      <c r="K49" s="103"/>
      <c r="L49" s="103"/>
      <c r="M49" s="103"/>
      <c r="N49" s="103"/>
      <c r="O49" s="103"/>
    </row>
    <row r="50" spans="1:15" ht="51" x14ac:dyDescent="0.2">
      <c r="A50" s="31" t="s">
        <v>253</v>
      </c>
      <c r="B50" s="104">
        <v>500</v>
      </c>
      <c r="C50" s="104"/>
      <c r="D50" s="103"/>
      <c r="E50" s="103"/>
      <c r="F50" s="103"/>
      <c r="G50" s="103"/>
      <c r="H50" s="103"/>
      <c r="I50" s="103"/>
      <c r="J50" s="103"/>
      <c r="K50" s="103"/>
      <c r="L50" s="103"/>
      <c r="M50" s="103"/>
      <c r="N50" s="103"/>
      <c r="O50" s="103"/>
    </row>
    <row r="51" spans="1:15" ht="38.25" x14ac:dyDescent="0.2">
      <c r="A51" s="31" t="s">
        <v>254</v>
      </c>
      <c r="B51" s="104">
        <v>600</v>
      </c>
      <c r="C51" s="86">
        <f>C35-C36+C37-C49+C50</f>
        <v>10851440</v>
      </c>
      <c r="D51" s="86">
        <f t="shared" ref="D51:N51" si="17">D35-D36+D37-D49+D50</f>
        <v>6495235</v>
      </c>
      <c r="E51" s="88">
        <f t="shared" si="17"/>
        <v>0</v>
      </c>
      <c r="F51" s="88">
        <f t="shared" si="17"/>
        <v>0</v>
      </c>
      <c r="G51" s="88">
        <f t="shared" si="17"/>
        <v>0</v>
      </c>
      <c r="H51" s="86">
        <f t="shared" si="17"/>
        <v>90000</v>
      </c>
      <c r="I51" s="86">
        <f t="shared" si="17"/>
        <v>244360</v>
      </c>
      <c r="J51" s="86">
        <f t="shared" si="17"/>
        <v>103636</v>
      </c>
      <c r="K51" s="86">
        <f t="shared" si="17"/>
        <v>67200</v>
      </c>
      <c r="L51" s="86">
        <f t="shared" si="17"/>
        <v>3124968</v>
      </c>
      <c r="M51" s="86">
        <f t="shared" si="17"/>
        <v>726041</v>
      </c>
      <c r="N51" s="88">
        <f t="shared" si="17"/>
        <v>0</v>
      </c>
      <c r="O51" s="88">
        <f>O35-O36+O37-O49+O50</f>
        <v>0</v>
      </c>
    </row>
    <row r="54" spans="1:15" x14ac:dyDescent="0.2">
      <c r="A54" s="239" t="s">
        <v>0</v>
      </c>
      <c r="B54" s="258" t="s">
        <v>1</v>
      </c>
      <c r="C54" s="258" t="s">
        <v>116</v>
      </c>
      <c r="D54" s="260"/>
      <c r="E54" s="260"/>
      <c r="F54" s="260"/>
      <c r="G54" s="260"/>
      <c r="H54" s="260"/>
      <c r="I54" s="260"/>
      <c r="J54" s="260"/>
      <c r="K54" s="260"/>
      <c r="L54" s="260"/>
      <c r="M54" s="260"/>
      <c r="N54" s="260"/>
      <c r="O54" s="82"/>
    </row>
    <row r="55" spans="1:15" x14ac:dyDescent="0.2">
      <c r="A55" s="240"/>
      <c r="B55" s="259"/>
      <c r="C55" s="259" t="s">
        <v>508</v>
      </c>
      <c r="D55" s="261"/>
      <c r="E55" s="261"/>
      <c r="F55" s="261"/>
      <c r="G55" s="261"/>
      <c r="H55" s="261"/>
      <c r="I55" s="261"/>
      <c r="J55" s="261"/>
      <c r="K55" s="261"/>
      <c r="L55" s="261"/>
      <c r="M55" s="261"/>
      <c r="N55" s="261"/>
      <c r="O55" s="83"/>
    </row>
    <row r="56" spans="1:15" ht="12.75" customHeight="1" x14ac:dyDescent="0.2">
      <c r="A56" s="240"/>
      <c r="B56" s="259"/>
      <c r="C56" s="262" t="s">
        <v>81</v>
      </c>
      <c r="D56" s="263"/>
      <c r="E56" s="263"/>
      <c r="F56" s="263"/>
      <c r="G56" s="263"/>
      <c r="H56" s="263"/>
      <c r="I56" s="263"/>
      <c r="J56" s="263"/>
      <c r="K56" s="263"/>
      <c r="L56" s="263"/>
      <c r="M56" s="263"/>
      <c r="N56" s="263"/>
      <c r="O56" s="84"/>
    </row>
    <row r="57" spans="1:15" ht="77.25" customHeight="1" x14ac:dyDescent="0.2">
      <c r="A57" s="241"/>
      <c r="B57" s="241"/>
      <c r="C57" s="105" t="str">
        <f t="shared" ref="C57:M57" si="18">C9</f>
        <v>ВСЕГО</v>
      </c>
      <c r="D57" s="105" t="str">
        <f t="shared" si="18"/>
        <v>0701 0210080610 621</v>
      </c>
      <c r="E57" s="94" t="str">
        <f>E9</f>
        <v>0701 0210080610 622</v>
      </c>
      <c r="F57" s="105" t="str">
        <f>F9</f>
        <v>0701 021R373980 622</v>
      </c>
      <c r="G57" s="94" t="str">
        <f>G9</f>
        <v>0701 1210086700 622</v>
      </c>
      <c r="H57" s="105" t="str">
        <f t="shared" si="18"/>
        <v>0701 0210075880 622</v>
      </c>
      <c r="I57" s="105" t="str">
        <f t="shared" si="18"/>
        <v>0701 0210075880 621</v>
      </c>
      <c r="J57" s="105" t="str">
        <f t="shared" si="18"/>
        <v>0701 0210074080 621</v>
      </c>
      <c r="K57" s="105" t="str">
        <f t="shared" si="18"/>
        <v>0701 0210075540 622</v>
      </c>
      <c r="L57" s="105" t="str">
        <f t="shared" si="18"/>
        <v>0701 4200099000 849</v>
      </c>
      <c r="M57" s="105" t="str">
        <f t="shared" si="18"/>
        <v>0701 4200099000 853</v>
      </c>
      <c r="N57" s="105" t="str">
        <f>N9</f>
        <v>0701 4200099000 849                          (остаток на начало текущего финансового года)</v>
      </c>
      <c r="O57" s="105" t="str">
        <f>O9</f>
        <v>0701 4200099000 853                 (остаток на начало текущего финансового года)</v>
      </c>
    </row>
    <row r="58" spans="1:15" x14ac:dyDescent="0.2">
      <c r="A58" s="104">
        <v>1</v>
      </c>
      <c r="B58" s="104">
        <f t="shared" ref="B58:O58" si="19">A58+1</f>
        <v>2</v>
      </c>
      <c r="C58" s="104">
        <f t="shared" si="19"/>
        <v>3</v>
      </c>
      <c r="D58" s="104">
        <f t="shared" si="19"/>
        <v>4</v>
      </c>
      <c r="E58" s="104">
        <f t="shared" si="19"/>
        <v>5</v>
      </c>
      <c r="F58" s="104">
        <f t="shared" si="19"/>
        <v>6</v>
      </c>
      <c r="G58" s="104">
        <f t="shared" si="19"/>
        <v>7</v>
      </c>
      <c r="H58" s="104">
        <f t="shared" si="19"/>
        <v>8</v>
      </c>
      <c r="I58" s="104">
        <f t="shared" si="19"/>
        <v>9</v>
      </c>
      <c r="J58" s="104">
        <f t="shared" si="19"/>
        <v>10</v>
      </c>
      <c r="K58" s="104">
        <f t="shared" si="19"/>
        <v>11</v>
      </c>
      <c r="L58" s="104">
        <f t="shared" si="19"/>
        <v>12</v>
      </c>
      <c r="M58" s="104">
        <f t="shared" si="19"/>
        <v>13</v>
      </c>
      <c r="N58" s="104">
        <f t="shared" si="19"/>
        <v>14</v>
      </c>
      <c r="O58" s="104">
        <f t="shared" si="19"/>
        <v>15</v>
      </c>
    </row>
    <row r="59" spans="1:15" ht="76.5" x14ac:dyDescent="0.2">
      <c r="A59" s="31" t="s">
        <v>240</v>
      </c>
      <c r="B59" s="104">
        <v>100</v>
      </c>
      <c r="C59" s="104"/>
      <c r="D59" s="103"/>
      <c r="E59" s="103"/>
      <c r="F59" s="103"/>
      <c r="G59" s="103"/>
      <c r="H59" s="103"/>
      <c r="I59" s="103"/>
      <c r="J59" s="103"/>
      <c r="K59" s="103"/>
      <c r="L59" s="103"/>
      <c r="M59" s="103"/>
      <c r="N59" s="103"/>
      <c r="O59" s="103"/>
    </row>
    <row r="60" spans="1:15" ht="51" x14ac:dyDescent="0.2">
      <c r="A60" s="31" t="s">
        <v>241</v>
      </c>
      <c r="B60" s="104">
        <v>200</v>
      </c>
      <c r="C60" s="104"/>
      <c r="D60" s="103"/>
      <c r="E60" s="103"/>
      <c r="F60" s="103"/>
      <c r="G60" s="103"/>
      <c r="H60" s="103"/>
      <c r="I60" s="103"/>
      <c r="J60" s="103"/>
      <c r="K60" s="103"/>
      <c r="L60" s="103"/>
      <c r="M60" s="103"/>
      <c r="N60" s="103"/>
      <c r="O60" s="103"/>
    </row>
    <row r="61" spans="1:15" ht="25.5" x14ac:dyDescent="0.2">
      <c r="A61" s="31" t="s">
        <v>242</v>
      </c>
      <c r="B61" s="104">
        <v>300</v>
      </c>
      <c r="C61" s="89">
        <f t="shared" ref="C61:C72" si="20">SUM(D61:O61)</f>
        <v>10851440</v>
      </c>
      <c r="D61" s="78">
        <f>SUM(D62:D72)</f>
        <v>6495235</v>
      </c>
      <c r="E61" s="78">
        <f>SUM(E62:E72)</f>
        <v>0</v>
      </c>
      <c r="F61" s="78">
        <f>SUM(F62:F72)</f>
        <v>0</v>
      </c>
      <c r="G61" s="78">
        <f>SUM(G62:G72)</f>
        <v>0</v>
      </c>
      <c r="H61" s="78">
        <f t="shared" ref="H61:M61" si="21">SUM(H62:H72)</f>
        <v>90000</v>
      </c>
      <c r="I61" s="78">
        <f t="shared" si="21"/>
        <v>244360</v>
      </c>
      <c r="J61" s="78">
        <f t="shared" si="21"/>
        <v>103636</v>
      </c>
      <c r="K61" s="78">
        <f t="shared" si="21"/>
        <v>67200</v>
      </c>
      <c r="L61" s="78">
        <f t="shared" si="21"/>
        <v>3124968</v>
      </c>
      <c r="M61" s="78">
        <f t="shared" si="21"/>
        <v>726041</v>
      </c>
      <c r="N61" s="78">
        <f>SUM(N62:N72)</f>
        <v>0</v>
      </c>
      <c r="O61" s="78">
        <f>SUM(O62:O72)</f>
        <v>0</v>
      </c>
    </row>
    <row r="62" spans="1:15" ht="15" customHeight="1" x14ac:dyDescent="0.2">
      <c r="A62" s="31" t="s">
        <v>15</v>
      </c>
      <c r="B62" s="256">
        <v>301</v>
      </c>
      <c r="C62" s="89">
        <f t="shared" si="20"/>
        <v>0</v>
      </c>
      <c r="D62" s="86">
        <f t="shared" ref="D62:M62" si="22">D14</f>
        <v>0</v>
      </c>
      <c r="E62" s="86"/>
      <c r="F62" s="86">
        <f>F14</f>
        <v>0</v>
      </c>
      <c r="G62" s="86"/>
      <c r="H62" s="86">
        <f t="shared" si="22"/>
        <v>0</v>
      </c>
      <c r="I62" s="86">
        <f t="shared" si="22"/>
        <v>0</v>
      </c>
      <c r="J62" s="86">
        <f t="shared" si="22"/>
        <v>0</v>
      </c>
      <c r="K62" s="86">
        <f t="shared" si="22"/>
        <v>0</v>
      </c>
      <c r="L62" s="86">
        <f t="shared" si="22"/>
        <v>0</v>
      </c>
      <c r="M62" s="86">
        <f t="shared" si="22"/>
        <v>0</v>
      </c>
      <c r="N62" s="86">
        <f>N14</f>
        <v>0</v>
      </c>
      <c r="O62" s="86">
        <f>O14</f>
        <v>0</v>
      </c>
    </row>
    <row r="63" spans="1:15" x14ac:dyDescent="0.2">
      <c r="A63" s="31" t="s">
        <v>243</v>
      </c>
      <c r="B63" s="257"/>
      <c r="C63" s="89">
        <f t="shared" si="20"/>
        <v>44400</v>
      </c>
      <c r="D63" s="88">
        <v>0</v>
      </c>
      <c r="E63" s="88"/>
      <c r="F63" s="88">
        <v>0</v>
      </c>
      <c r="G63" s="88"/>
      <c r="H63" s="88">
        <v>0</v>
      </c>
      <c r="I63" s="77">
        <f>'3.13.2(221)'!N6</f>
        <v>20400</v>
      </c>
      <c r="J63" s="77">
        <f>'3.13.2(221)'!N7</f>
        <v>24000</v>
      </c>
      <c r="K63" s="88">
        <v>0</v>
      </c>
      <c r="L63" s="88">
        <v>0</v>
      </c>
      <c r="M63" s="88">
        <v>0</v>
      </c>
      <c r="N63" s="88">
        <v>0</v>
      </c>
      <c r="O63" s="88">
        <v>0</v>
      </c>
    </row>
    <row r="64" spans="1:15" x14ac:dyDescent="0.2">
      <c r="A64" s="31" t="s">
        <v>244</v>
      </c>
      <c r="B64" s="104">
        <v>302</v>
      </c>
      <c r="C64" s="89">
        <f t="shared" si="20"/>
        <v>0</v>
      </c>
      <c r="D64" s="77">
        <f t="shared" ref="D64:M64" si="23">D16</f>
        <v>0</v>
      </c>
      <c r="E64" s="77"/>
      <c r="F64" s="77">
        <f>F16</f>
        <v>0</v>
      </c>
      <c r="G64" s="77"/>
      <c r="H64" s="77">
        <f t="shared" si="23"/>
        <v>0</v>
      </c>
      <c r="I64" s="77">
        <f t="shared" si="23"/>
        <v>0</v>
      </c>
      <c r="J64" s="77">
        <f t="shared" si="23"/>
        <v>0</v>
      </c>
      <c r="K64" s="77">
        <f t="shared" si="23"/>
        <v>0</v>
      </c>
      <c r="L64" s="77">
        <f t="shared" si="23"/>
        <v>0</v>
      </c>
      <c r="M64" s="77">
        <f t="shared" si="23"/>
        <v>0</v>
      </c>
      <c r="N64" s="77">
        <f t="shared" ref="N64:O70" si="24">N16</f>
        <v>0</v>
      </c>
      <c r="O64" s="77">
        <f t="shared" si="24"/>
        <v>0</v>
      </c>
    </row>
    <row r="65" spans="1:15" x14ac:dyDescent="0.2">
      <c r="A65" s="31" t="s">
        <v>245</v>
      </c>
      <c r="B65" s="104">
        <v>303</v>
      </c>
      <c r="C65" s="89">
        <f t="shared" si="20"/>
        <v>2835891.3200000003</v>
      </c>
      <c r="D65" s="77">
        <f>'3.13.4(223)'!K23</f>
        <v>2835891.3200000003</v>
      </c>
      <c r="E65" s="77"/>
      <c r="F65" s="77">
        <f>'3.13.4(223)'!K31</f>
        <v>0</v>
      </c>
      <c r="G65" s="77"/>
      <c r="H65" s="77">
        <f t="shared" ref="H65:M65" si="25">H17</f>
        <v>0</v>
      </c>
      <c r="I65" s="77">
        <f t="shared" si="25"/>
        <v>0</v>
      </c>
      <c r="J65" s="77">
        <f t="shared" si="25"/>
        <v>0</v>
      </c>
      <c r="K65" s="77">
        <f t="shared" si="25"/>
        <v>0</v>
      </c>
      <c r="L65" s="77">
        <f t="shared" si="25"/>
        <v>0</v>
      </c>
      <c r="M65" s="77">
        <f t="shared" si="25"/>
        <v>0</v>
      </c>
      <c r="N65" s="77">
        <f t="shared" si="24"/>
        <v>0</v>
      </c>
      <c r="O65" s="77">
        <f t="shared" si="24"/>
        <v>0</v>
      </c>
    </row>
    <row r="66" spans="1:15" x14ac:dyDescent="0.2">
      <c r="A66" s="31" t="s">
        <v>246</v>
      </c>
      <c r="B66" s="104">
        <v>304</v>
      </c>
      <c r="C66" s="89">
        <f t="shared" si="20"/>
        <v>0</v>
      </c>
      <c r="D66" s="77">
        <f t="shared" ref="D66:M66" si="26">D18</f>
        <v>0</v>
      </c>
      <c r="E66" s="77"/>
      <c r="F66" s="77">
        <f>F18</f>
        <v>0</v>
      </c>
      <c r="G66" s="77"/>
      <c r="H66" s="77">
        <f t="shared" si="26"/>
        <v>0</v>
      </c>
      <c r="I66" s="77">
        <f t="shared" si="26"/>
        <v>0</v>
      </c>
      <c r="J66" s="77">
        <f t="shared" si="26"/>
        <v>0</v>
      </c>
      <c r="K66" s="77">
        <f t="shared" si="26"/>
        <v>0</v>
      </c>
      <c r="L66" s="77">
        <f t="shared" si="26"/>
        <v>0</v>
      </c>
      <c r="M66" s="77">
        <f t="shared" si="26"/>
        <v>0</v>
      </c>
      <c r="N66" s="77">
        <f t="shared" si="24"/>
        <v>0</v>
      </c>
      <c r="O66" s="77">
        <f t="shared" si="24"/>
        <v>0</v>
      </c>
    </row>
    <row r="67" spans="1:15" x14ac:dyDescent="0.2">
      <c r="A67" s="31" t="s">
        <v>247</v>
      </c>
      <c r="B67" s="104">
        <v>305</v>
      </c>
      <c r="C67" s="89">
        <f t="shared" si="20"/>
        <v>519193.68</v>
      </c>
      <c r="D67" s="77">
        <f>'3.13.6(225)'!K27</f>
        <v>491193.68</v>
      </c>
      <c r="E67" s="77"/>
      <c r="F67" s="77">
        <f>F19</f>
        <v>0</v>
      </c>
      <c r="G67" s="77"/>
      <c r="H67" s="77">
        <f>H19</f>
        <v>0</v>
      </c>
      <c r="I67" s="77">
        <f>'3.13.6(225)'!K36</f>
        <v>22000</v>
      </c>
      <c r="J67" s="77">
        <f>'3.13.6(225)'!K44</f>
        <v>6000</v>
      </c>
      <c r="K67" s="77">
        <f>K19</f>
        <v>0</v>
      </c>
      <c r="L67" s="77">
        <f>L19</f>
        <v>0</v>
      </c>
      <c r="M67" s="77">
        <f>'3.13.6(225)'!K55</f>
        <v>0</v>
      </c>
      <c r="N67" s="77">
        <f t="shared" si="24"/>
        <v>0</v>
      </c>
      <c r="O67" s="77">
        <f t="shared" si="24"/>
        <v>0</v>
      </c>
    </row>
    <row r="68" spans="1:15" x14ac:dyDescent="0.2">
      <c r="A68" s="31" t="s">
        <v>248</v>
      </c>
      <c r="B68" s="104">
        <v>306</v>
      </c>
      <c r="C68" s="89">
        <f t="shared" si="20"/>
        <v>0</v>
      </c>
      <c r="D68" s="77">
        <f t="shared" ref="D68:M68" si="27">D20</f>
        <v>0</v>
      </c>
      <c r="E68" s="77"/>
      <c r="F68" s="77">
        <f>F20</f>
        <v>0</v>
      </c>
      <c r="G68" s="77"/>
      <c r="H68" s="77">
        <f t="shared" si="27"/>
        <v>0</v>
      </c>
      <c r="I68" s="77">
        <f t="shared" si="27"/>
        <v>0</v>
      </c>
      <c r="J68" s="77">
        <f t="shared" si="27"/>
        <v>0</v>
      </c>
      <c r="K68" s="77">
        <f t="shared" si="27"/>
        <v>0</v>
      </c>
      <c r="L68" s="77">
        <f t="shared" si="27"/>
        <v>0</v>
      </c>
      <c r="M68" s="77">
        <f t="shared" si="27"/>
        <v>0</v>
      </c>
      <c r="N68" s="77">
        <f t="shared" si="24"/>
        <v>0</v>
      </c>
      <c r="O68" s="77">
        <f t="shared" si="24"/>
        <v>0</v>
      </c>
    </row>
    <row r="69" spans="1:15" ht="25.5" x14ac:dyDescent="0.2">
      <c r="A69" s="31" t="s">
        <v>249</v>
      </c>
      <c r="B69" s="104">
        <v>307</v>
      </c>
      <c r="C69" s="89">
        <f t="shared" si="20"/>
        <v>0</v>
      </c>
      <c r="D69" s="77">
        <f t="shared" ref="D69:M69" si="28">D21</f>
        <v>0</v>
      </c>
      <c r="E69" s="77"/>
      <c r="F69" s="77">
        <f>F21</f>
        <v>0</v>
      </c>
      <c r="G69" s="77"/>
      <c r="H69" s="77">
        <f t="shared" si="28"/>
        <v>0</v>
      </c>
      <c r="I69" s="77">
        <f t="shared" si="28"/>
        <v>0</v>
      </c>
      <c r="J69" s="77">
        <f>'3.13.8(обуч)'!K9</f>
        <v>0</v>
      </c>
      <c r="K69" s="77">
        <f t="shared" si="28"/>
        <v>0</v>
      </c>
      <c r="L69" s="77">
        <f t="shared" si="28"/>
        <v>0</v>
      </c>
      <c r="M69" s="77">
        <f t="shared" si="28"/>
        <v>0</v>
      </c>
      <c r="N69" s="77">
        <f t="shared" si="24"/>
        <v>0</v>
      </c>
      <c r="O69" s="77">
        <f t="shared" si="24"/>
        <v>0</v>
      </c>
    </row>
    <row r="70" spans="1:15" x14ac:dyDescent="0.2">
      <c r="A70" s="31" t="s">
        <v>307</v>
      </c>
      <c r="B70" s="104">
        <v>308</v>
      </c>
      <c r="C70" s="89">
        <f t="shared" si="20"/>
        <v>568510</v>
      </c>
      <c r="D70" s="77">
        <f>'3.13.9(226)'!H28</f>
        <v>370350</v>
      </c>
      <c r="E70" s="77"/>
      <c r="F70" s="77">
        <f>F46</f>
        <v>0</v>
      </c>
      <c r="G70" s="77"/>
      <c r="H70" s="77">
        <f>H22</f>
        <v>0</v>
      </c>
      <c r="I70" s="77">
        <f>'3.13.9(226)'!H50</f>
        <v>142960</v>
      </c>
      <c r="J70" s="77">
        <f>'3.13.9(226)'!H38</f>
        <v>55200</v>
      </c>
      <c r="K70" s="77">
        <f>K22</f>
        <v>0</v>
      </c>
      <c r="L70" s="77">
        <f>L22</f>
        <v>0</v>
      </c>
      <c r="M70" s="77">
        <f>'3.13.9(226)'!H59</f>
        <v>0</v>
      </c>
      <c r="N70" s="77">
        <f t="shared" si="24"/>
        <v>0</v>
      </c>
      <c r="O70" s="77">
        <f t="shared" si="24"/>
        <v>0</v>
      </c>
    </row>
    <row r="71" spans="1:15" ht="25.5" x14ac:dyDescent="0.2">
      <c r="A71" s="31" t="s">
        <v>250</v>
      </c>
      <c r="B71" s="104">
        <v>309</v>
      </c>
      <c r="C71" s="89">
        <f t="shared" si="20"/>
        <v>816041</v>
      </c>
      <c r="D71" s="77">
        <f t="shared" ref="D71:L71" si="29">D23</f>
        <v>0</v>
      </c>
      <c r="E71" s="77">
        <f>'3.13.10(310)'!K66</f>
        <v>0</v>
      </c>
      <c r="F71" s="77">
        <v>0</v>
      </c>
      <c r="G71" s="77"/>
      <c r="H71" s="77">
        <f>'3.13.10(310)'!K11</f>
        <v>90000</v>
      </c>
      <c r="I71" s="77">
        <f t="shared" si="29"/>
        <v>0</v>
      </c>
      <c r="J71" s="77">
        <f t="shared" si="29"/>
        <v>0</v>
      </c>
      <c r="K71" s="77">
        <f t="shared" si="29"/>
        <v>0</v>
      </c>
      <c r="L71" s="77">
        <f t="shared" si="29"/>
        <v>0</v>
      </c>
      <c r="M71" s="77">
        <f>'3.13.10(310)'!K54</f>
        <v>726041</v>
      </c>
      <c r="N71" s="77">
        <f>N23</f>
        <v>0</v>
      </c>
      <c r="O71" s="77">
        <f>'3.13.10(310)'!K24</f>
        <v>0</v>
      </c>
    </row>
    <row r="72" spans="1:15" x14ac:dyDescent="0.2">
      <c r="A72" s="31" t="s">
        <v>251</v>
      </c>
      <c r="B72" s="104">
        <v>310</v>
      </c>
      <c r="C72" s="89">
        <f t="shared" si="20"/>
        <v>6067404</v>
      </c>
      <c r="D72" s="77">
        <f>'3.13.11(340)'!K21</f>
        <v>2797800</v>
      </c>
      <c r="E72" s="77">
        <f>'3.13.11(340)'!K84</f>
        <v>0</v>
      </c>
      <c r="F72" s="77">
        <v>0</v>
      </c>
      <c r="G72" s="77">
        <f>'3.13.11(340)'!K92</f>
        <v>0</v>
      </c>
      <c r="H72" s="77">
        <f>H24</f>
        <v>0</v>
      </c>
      <c r="I72" s="77">
        <f>'3.13.11(340)'!K34</f>
        <v>59000</v>
      </c>
      <c r="J72" s="77">
        <f>'3.13.11(340)'!K43</f>
        <v>18436</v>
      </c>
      <c r="K72" s="77">
        <f>'3.13.11(340)'!K51</f>
        <v>67200</v>
      </c>
      <c r="L72" s="77">
        <f>'3.13.11(340)'!K59</f>
        <v>3124968</v>
      </c>
      <c r="M72" s="77">
        <f>'3.13.11(340)'!K76</f>
        <v>0</v>
      </c>
      <c r="N72" s="77">
        <f>'3.13.11(340)'!K67</f>
        <v>0</v>
      </c>
      <c r="O72" s="77">
        <f>'3.13.11(340)'!K92</f>
        <v>0</v>
      </c>
    </row>
    <row r="73" spans="1:15" ht="76.5" x14ac:dyDescent="0.2">
      <c r="A73" s="31" t="s">
        <v>252</v>
      </c>
      <c r="B73" s="104">
        <v>400</v>
      </c>
      <c r="C73" s="104"/>
      <c r="D73" s="103"/>
      <c r="E73" s="103"/>
      <c r="F73" s="103"/>
      <c r="G73" s="103"/>
      <c r="H73" s="103"/>
      <c r="I73" s="103"/>
      <c r="J73" s="103"/>
      <c r="K73" s="103"/>
      <c r="L73" s="103"/>
      <c r="M73" s="103"/>
      <c r="N73" s="103"/>
      <c r="O73" s="103"/>
    </row>
    <row r="74" spans="1:15" ht="51" x14ac:dyDescent="0.2">
      <c r="A74" s="31" t="s">
        <v>253</v>
      </c>
      <c r="B74" s="104">
        <v>500</v>
      </c>
      <c r="C74" s="104"/>
      <c r="D74" s="103"/>
      <c r="E74" s="103"/>
      <c r="F74" s="103"/>
      <c r="G74" s="103"/>
      <c r="H74" s="103"/>
      <c r="I74" s="103"/>
      <c r="J74" s="103"/>
      <c r="K74" s="103"/>
      <c r="L74" s="103"/>
      <c r="M74" s="103"/>
      <c r="N74" s="103"/>
      <c r="O74" s="103"/>
    </row>
    <row r="75" spans="1:15" ht="38.25" x14ac:dyDescent="0.2">
      <c r="A75" s="31" t="s">
        <v>254</v>
      </c>
      <c r="B75" s="104">
        <v>600</v>
      </c>
      <c r="C75" s="86">
        <f>C59-C60+C61-C73+C74</f>
        <v>10851440</v>
      </c>
      <c r="D75" s="86">
        <f t="shared" ref="D75:N75" si="30">D59-D60+D61-D73+D74</f>
        <v>6495235</v>
      </c>
      <c r="E75" s="88">
        <f>E59-E60+E61-E73+E74</f>
        <v>0</v>
      </c>
      <c r="F75" s="88">
        <f>F59-F60+F61-F73+F74</f>
        <v>0</v>
      </c>
      <c r="G75" s="88">
        <f>G59-G60+G61-G73+G74</f>
        <v>0</v>
      </c>
      <c r="H75" s="88">
        <f>H59-H60+H61-H73+H74</f>
        <v>90000</v>
      </c>
      <c r="I75" s="86">
        <f t="shared" si="30"/>
        <v>244360</v>
      </c>
      <c r="J75" s="86">
        <f t="shared" si="30"/>
        <v>103636</v>
      </c>
      <c r="K75" s="86">
        <f t="shared" si="30"/>
        <v>67200</v>
      </c>
      <c r="L75" s="86">
        <f t="shared" si="30"/>
        <v>3124968</v>
      </c>
      <c r="M75" s="86">
        <f t="shared" si="30"/>
        <v>726041</v>
      </c>
      <c r="N75" s="88">
        <f t="shared" si="30"/>
        <v>0</v>
      </c>
      <c r="O75" s="88">
        <f>O59-O60+O61-O73+O74</f>
        <v>0</v>
      </c>
    </row>
  </sheetData>
  <mergeCells count="19">
    <mergeCell ref="A1:M1"/>
    <mergeCell ref="A3:M3"/>
    <mergeCell ref="A6:A9"/>
    <mergeCell ref="B6:B9"/>
    <mergeCell ref="C6:N6"/>
    <mergeCell ref="C7:N7"/>
    <mergeCell ref="C8:N8"/>
    <mergeCell ref="A30:A33"/>
    <mergeCell ref="B30:B33"/>
    <mergeCell ref="C30:N30"/>
    <mergeCell ref="C31:N31"/>
    <mergeCell ref="C32:N32"/>
    <mergeCell ref="B62:B63"/>
    <mergeCell ref="B38:B39"/>
    <mergeCell ref="A54:A57"/>
    <mergeCell ref="B54:B57"/>
    <mergeCell ref="C54:N54"/>
    <mergeCell ref="C55:N55"/>
    <mergeCell ref="C56:N56"/>
  </mergeCells>
  <pageMargins left="0.39370078740157483" right="0.39370078740157483" top="0.39370078740157483" bottom="0.39370078740157483" header="0.31496062992125984" footer="0.31496062992125984"/>
  <pageSetup paperSize="9" scale="75" fitToHeight="3" orientation="landscape" r:id="rId1"/>
  <rowBreaks count="2" manualBreakCount="2">
    <brk id="27" max="16383" man="1"/>
    <brk id="51" max="16383" man="1"/>
  </rowBreak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"/>
  <sheetViews>
    <sheetView view="pageBreakPreview" zoomScaleNormal="100" zoomScaleSheetLayoutView="100" workbookViewId="0">
      <selection activeCell="R7" sqref="R7"/>
    </sheetView>
  </sheetViews>
  <sheetFormatPr defaultColWidth="9.140625" defaultRowHeight="12.75" x14ac:dyDescent="0.2"/>
  <cols>
    <col min="1" max="1" width="27.85546875" style="30" customWidth="1"/>
    <col min="2" max="2" width="7.28515625" style="30" customWidth="1"/>
    <col min="3" max="3" width="11.140625" style="30" customWidth="1"/>
    <col min="4" max="4" width="11.7109375" style="30" customWidth="1"/>
    <col min="5" max="5" width="10.85546875" style="30" customWidth="1"/>
    <col min="6" max="6" width="10.7109375" style="30" customWidth="1"/>
    <col min="7" max="7" width="10.5703125" style="30" customWidth="1"/>
    <col min="8" max="8" width="9.85546875" style="30" customWidth="1"/>
    <col min="9" max="9" width="11" style="30" customWidth="1"/>
    <col min="10" max="10" width="10.5703125" style="30" customWidth="1"/>
    <col min="11" max="11" width="9.85546875" style="30" customWidth="1"/>
    <col min="12" max="12" width="12" style="30" customWidth="1"/>
    <col min="13" max="13" width="11" style="30" customWidth="1"/>
    <col min="14" max="14" width="10.42578125" style="30" customWidth="1"/>
    <col min="15" max="16384" width="9.140625" style="30"/>
  </cols>
  <sheetData>
    <row r="1" spans="1:16" x14ac:dyDescent="0.2">
      <c r="A1" s="30" t="s">
        <v>260</v>
      </c>
    </row>
    <row r="2" spans="1:16" ht="33" customHeight="1" x14ac:dyDescent="0.2">
      <c r="A2" s="237" t="s">
        <v>221</v>
      </c>
      <c r="B2" s="237" t="s">
        <v>1</v>
      </c>
      <c r="C2" s="237" t="s">
        <v>257</v>
      </c>
      <c r="D2" s="237"/>
      <c r="E2" s="237"/>
      <c r="F2" s="237" t="s">
        <v>258</v>
      </c>
      <c r="G2" s="237"/>
      <c r="H2" s="237"/>
      <c r="I2" s="237" t="s">
        <v>259</v>
      </c>
      <c r="J2" s="237"/>
      <c r="K2" s="237"/>
      <c r="L2" s="237" t="s">
        <v>116</v>
      </c>
      <c r="M2" s="237"/>
      <c r="N2" s="237"/>
    </row>
    <row r="3" spans="1:16" x14ac:dyDescent="0.2">
      <c r="A3" s="237"/>
      <c r="B3" s="237"/>
      <c r="C3" s="104" t="s">
        <v>353</v>
      </c>
      <c r="D3" s="104" t="s">
        <v>455</v>
      </c>
      <c r="E3" s="104" t="s">
        <v>508</v>
      </c>
      <c r="F3" s="104" t="s">
        <v>353</v>
      </c>
      <c r="G3" s="104" t="s">
        <v>455</v>
      </c>
      <c r="H3" s="104" t="s">
        <v>508</v>
      </c>
      <c r="I3" s="104" t="s">
        <v>353</v>
      </c>
      <c r="J3" s="104" t="s">
        <v>455</v>
      </c>
      <c r="K3" s="104" t="s">
        <v>508</v>
      </c>
      <c r="L3" s="104" t="s">
        <v>353</v>
      </c>
      <c r="M3" s="104" t="s">
        <v>455</v>
      </c>
      <c r="N3" s="104" t="s">
        <v>508</v>
      </c>
    </row>
    <row r="4" spans="1:16" ht="48" customHeight="1" x14ac:dyDescent="0.2">
      <c r="A4" s="237"/>
      <c r="B4" s="237"/>
      <c r="C4" s="104" t="s">
        <v>79</v>
      </c>
      <c r="D4" s="104" t="s">
        <v>80</v>
      </c>
      <c r="E4" s="104" t="s">
        <v>81</v>
      </c>
      <c r="F4" s="104" t="s">
        <v>79</v>
      </c>
      <c r="G4" s="104" t="s">
        <v>80</v>
      </c>
      <c r="H4" s="104" t="s">
        <v>81</v>
      </c>
      <c r="I4" s="104" t="s">
        <v>79</v>
      </c>
      <c r="J4" s="104" t="s">
        <v>80</v>
      </c>
      <c r="K4" s="104" t="s">
        <v>81</v>
      </c>
      <c r="L4" s="104" t="s">
        <v>79</v>
      </c>
      <c r="M4" s="104" t="s">
        <v>80</v>
      </c>
      <c r="N4" s="104" t="s">
        <v>81</v>
      </c>
    </row>
    <row r="5" spans="1:16" x14ac:dyDescent="0.2">
      <c r="A5" s="104">
        <v>1</v>
      </c>
      <c r="B5" s="104">
        <v>2</v>
      </c>
      <c r="C5" s="104">
        <v>3</v>
      </c>
      <c r="D5" s="104">
        <v>4</v>
      </c>
      <c r="E5" s="104">
        <v>5</v>
      </c>
      <c r="F5" s="104">
        <v>6</v>
      </c>
      <c r="G5" s="104">
        <v>7</v>
      </c>
      <c r="H5" s="104">
        <v>8</v>
      </c>
      <c r="I5" s="104">
        <v>9</v>
      </c>
      <c r="J5" s="104">
        <v>10</v>
      </c>
      <c r="K5" s="104">
        <v>11</v>
      </c>
      <c r="L5" s="104">
        <v>12</v>
      </c>
      <c r="M5" s="104">
        <v>13</v>
      </c>
      <c r="N5" s="104">
        <v>14</v>
      </c>
      <c r="O5" s="53" t="s">
        <v>434</v>
      </c>
      <c r="P5" s="53" t="s">
        <v>435</v>
      </c>
    </row>
    <row r="6" spans="1:16" ht="37.5" customHeight="1" x14ac:dyDescent="0.2">
      <c r="A6" s="31" t="s">
        <v>472</v>
      </c>
      <c r="B6" s="104">
        <v>1</v>
      </c>
      <c r="C6" s="104">
        <v>1</v>
      </c>
      <c r="D6" s="104">
        <v>1</v>
      </c>
      <c r="E6" s="104">
        <v>1</v>
      </c>
      <c r="F6" s="104">
        <v>12</v>
      </c>
      <c r="G6" s="104">
        <v>12</v>
      </c>
      <c r="H6" s="104">
        <v>12</v>
      </c>
      <c r="I6" s="31">
        <f t="shared" ref="I6:K7" si="0">L6/F6</f>
        <v>1700</v>
      </c>
      <c r="J6" s="31">
        <f t="shared" si="0"/>
        <v>1700</v>
      </c>
      <c r="K6" s="31">
        <f t="shared" si="0"/>
        <v>1700</v>
      </c>
      <c r="L6" s="103">
        <v>20400</v>
      </c>
      <c r="M6" s="103">
        <v>20400</v>
      </c>
      <c r="N6" s="103">
        <v>20400</v>
      </c>
      <c r="O6" s="54"/>
      <c r="P6" s="54">
        <f>L6-O6</f>
        <v>20400</v>
      </c>
    </row>
    <row r="7" spans="1:16" ht="36" customHeight="1" x14ac:dyDescent="0.2">
      <c r="A7" s="31" t="s">
        <v>473</v>
      </c>
      <c r="B7" s="104">
        <v>2</v>
      </c>
      <c r="C7" s="104">
        <v>3</v>
      </c>
      <c r="D7" s="104">
        <v>3</v>
      </c>
      <c r="E7" s="104">
        <v>3</v>
      </c>
      <c r="F7" s="104">
        <v>12</v>
      </c>
      <c r="G7" s="104">
        <v>12</v>
      </c>
      <c r="H7" s="104">
        <v>12</v>
      </c>
      <c r="I7" s="31">
        <f t="shared" si="0"/>
        <v>2000</v>
      </c>
      <c r="J7" s="31">
        <f t="shared" si="0"/>
        <v>2000</v>
      </c>
      <c r="K7" s="31">
        <f t="shared" si="0"/>
        <v>2000</v>
      </c>
      <c r="L7" s="103">
        <v>24000</v>
      </c>
      <c r="M7" s="103">
        <v>24000</v>
      </c>
      <c r="N7" s="103">
        <v>24000</v>
      </c>
      <c r="O7" s="54"/>
      <c r="P7" s="123">
        <f>L7-O7</f>
        <v>24000</v>
      </c>
    </row>
    <row r="8" spans="1:16" x14ac:dyDescent="0.2">
      <c r="A8" s="31" t="s">
        <v>136</v>
      </c>
      <c r="B8" s="104">
        <v>9000</v>
      </c>
      <c r="C8" s="104" t="s">
        <v>12</v>
      </c>
      <c r="D8" s="104" t="s">
        <v>12</v>
      </c>
      <c r="E8" s="104" t="s">
        <v>12</v>
      </c>
      <c r="F8" s="104" t="s">
        <v>12</v>
      </c>
      <c r="G8" s="104" t="s">
        <v>12</v>
      </c>
      <c r="H8" s="104" t="s">
        <v>12</v>
      </c>
      <c r="I8" s="104" t="s">
        <v>12</v>
      </c>
      <c r="J8" s="104" t="s">
        <v>12</v>
      </c>
      <c r="K8" s="104" t="s">
        <v>12</v>
      </c>
      <c r="L8" s="32">
        <f>SUM(L6:L7)</f>
        <v>44400</v>
      </c>
      <c r="M8" s="32">
        <f>SUM(M6:M7)</f>
        <v>44400</v>
      </c>
      <c r="N8" s="32">
        <f>SUM(N6:N7)</f>
        <v>44400</v>
      </c>
      <c r="O8" s="55">
        <f>SUM(O6:O7)</f>
        <v>0</v>
      </c>
      <c r="P8" s="55">
        <f>SUM(P6:P7)</f>
        <v>44400</v>
      </c>
    </row>
    <row r="9" spans="1:16" x14ac:dyDescent="0.2">
      <c r="O9" s="56">
        <f>O8</f>
        <v>0</v>
      </c>
      <c r="P9" s="56">
        <f>P8</f>
        <v>44400</v>
      </c>
    </row>
  </sheetData>
  <mergeCells count="6">
    <mergeCell ref="L2:N2"/>
    <mergeCell ref="A2:A4"/>
    <mergeCell ref="B2:B4"/>
    <mergeCell ref="C2:E2"/>
    <mergeCell ref="F2:H2"/>
    <mergeCell ref="I2:K2"/>
  </mergeCells>
  <pageMargins left="0.7" right="0.7" top="0.75" bottom="0.75" header="0.3" footer="0.3"/>
  <pageSetup paperSize="9" scale="68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K9"/>
  <sheetViews>
    <sheetView view="pageBreakPreview" zoomScaleNormal="100" zoomScaleSheetLayoutView="100" workbookViewId="0">
      <selection activeCell="J6" sqref="J6"/>
    </sheetView>
  </sheetViews>
  <sheetFormatPr defaultColWidth="9.140625" defaultRowHeight="12.75" x14ac:dyDescent="0.2"/>
  <cols>
    <col min="1" max="1" width="16.5703125" style="2" customWidth="1"/>
    <col min="2" max="2" width="9.140625" style="2"/>
    <col min="3" max="11" width="15.7109375" style="2" customWidth="1"/>
    <col min="12" max="16384" width="9.140625" style="2"/>
  </cols>
  <sheetData>
    <row r="1" spans="1:11" x14ac:dyDescent="0.2">
      <c r="A1" s="2" t="s">
        <v>263</v>
      </c>
    </row>
    <row r="2" spans="1:11" ht="33" customHeight="1" x14ac:dyDescent="0.2">
      <c r="A2" s="231" t="s">
        <v>221</v>
      </c>
      <c r="B2" s="231" t="s">
        <v>1</v>
      </c>
      <c r="C2" s="231" t="s">
        <v>261</v>
      </c>
      <c r="D2" s="231"/>
      <c r="E2" s="231"/>
      <c r="F2" s="231" t="s">
        <v>262</v>
      </c>
      <c r="G2" s="231"/>
      <c r="H2" s="231"/>
      <c r="I2" s="231" t="s">
        <v>116</v>
      </c>
      <c r="J2" s="231"/>
      <c r="K2" s="231"/>
    </row>
    <row r="3" spans="1:11" x14ac:dyDescent="0.2">
      <c r="A3" s="231"/>
      <c r="B3" s="231"/>
      <c r="C3" s="1" t="s">
        <v>4</v>
      </c>
      <c r="D3" s="1" t="s">
        <v>4</v>
      </c>
      <c r="E3" s="1" t="s">
        <v>4</v>
      </c>
      <c r="F3" s="1" t="s">
        <v>4</v>
      </c>
      <c r="G3" s="1" t="s">
        <v>4</v>
      </c>
      <c r="H3" s="1" t="s">
        <v>4</v>
      </c>
      <c r="I3" s="1" t="s">
        <v>4</v>
      </c>
      <c r="J3" s="1" t="s">
        <v>4</v>
      </c>
      <c r="K3" s="1" t="s">
        <v>4</v>
      </c>
    </row>
    <row r="4" spans="1:11" ht="38.25" x14ac:dyDescent="0.2">
      <c r="A4" s="231"/>
      <c r="B4" s="231"/>
      <c r="C4" s="1" t="s">
        <v>79</v>
      </c>
      <c r="D4" s="1" t="s">
        <v>80</v>
      </c>
      <c r="E4" s="1" t="s">
        <v>81</v>
      </c>
      <c r="F4" s="1" t="s">
        <v>79</v>
      </c>
      <c r="G4" s="1" t="s">
        <v>80</v>
      </c>
      <c r="H4" s="1" t="s">
        <v>81</v>
      </c>
      <c r="I4" s="1" t="s">
        <v>79</v>
      </c>
      <c r="J4" s="1" t="s">
        <v>80</v>
      </c>
      <c r="K4" s="1" t="s">
        <v>81</v>
      </c>
    </row>
    <row r="5" spans="1:11" x14ac:dyDescent="0.2">
      <c r="A5" s="1">
        <v>1</v>
      </c>
      <c r="B5" s="1">
        <v>2</v>
      </c>
      <c r="C5" s="1">
        <v>3</v>
      </c>
      <c r="D5" s="1">
        <v>4</v>
      </c>
      <c r="E5" s="1">
        <v>5</v>
      </c>
      <c r="F5" s="1">
        <v>6</v>
      </c>
      <c r="G5" s="1">
        <v>7</v>
      </c>
      <c r="H5" s="1">
        <v>8</v>
      </c>
      <c r="I5" s="1">
        <v>9</v>
      </c>
      <c r="J5" s="1">
        <v>10</v>
      </c>
      <c r="K5" s="1">
        <v>11</v>
      </c>
    </row>
    <row r="6" spans="1:11" ht="38.25" x14ac:dyDescent="0.2">
      <c r="A6" s="4" t="s">
        <v>313</v>
      </c>
      <c r="B6" s="1">
        <v>1</v>
      </c>
      <c r="C6" s="4"/>
      <c r="D6" s="4"/>
      <c r="E6" s="4"/>
      <c r="F6" s="4"/>
      <c r="G6" s="4"/>
      <c r="H6" s="4"/>
      <c r="I6" s="5">
        <v>0</v>
      </c>
      <c r="J6" s="5"/>
      <c r="K6" s="5"/>
    </row>
    <row r="7" spans="1:11" x14ac:dyDescent="0.2">
      <c r="A7" s="4"/>
      <c r="B7" s="1">
        <v>2</v>
      </c>
      <c r="C7" s="4"/>
      <c r="D7" s="4"/>
      <c r="E7" s="4"/>
      <c r="F7" s="4"/>
      <c r="G7" s="4"/>
      <c r="H7" s="4"/>
      <c r="I7" s="5"/>
      <c r="J7" s="5"/>
      <c r="K7" s="5"/>
    </row>
    <row r="8" spans="1:11" x14ac:dyDescent="0.2">
      <c r="A8" s="4"/>
      <c r="B8" s="4"/>
      <c r="C8" s="4"/>
      <c r="D8" s="4"/>
      <c r="E8" s="4"/>
      <c r="F8" s="4"/>
      <c r="G8" s="4"/>
      <c r="H8" s="4"/>
      <c r="I8" s="5"/>
      <c r="J8" s="5"/>
      <c r="K8" s="5"/>
    </row>
    <row r="9" spans="1:11" x14ac:dyDescent="0.2">
      <c r="A9" s="4" t="s">
        <v>136</v>
      </c>
      <c r="B9" s="1">
        <v>9000</v>
      </c>
      <c r="C9" s="1" t="s">
        <v>12</v>
      </c>
      <c r="D9" s="1" t="s">
        <v>12</v>
      </c>
      <c r="E9" s="1" t="s">
        <v>12</v>
      </c>
      <c r="F9" s="1" t="s">
        <v>12</v>
      </c>
      <c r="G9" s="1" t="s">
        <v>12</v>
      </c>
      <c r="H9" s="1" t="s">
        <v>12</v>
      </c>
      <c r="I9" s="5">
        <f>SUM(I6:I8)</f>
        <v>0</v>
      </c>
      <c r="J9" s="5">
        <f>SUM(J6:J8)</f>
        <v>0</v>
      </c>
      <c r="K9" s="5">
        <f>SUM(K6:K8)</f>
        <v>0</v>
      </c>
    </row>
  </sheetData>
  <mergeCells count="5">
    <mergeCell ref="A2:A4"/>
    <mergeCell ref="B2:B4"/>
    <mergeCell ref="C2:E2"/>
    <mergeCell ref="F2:H2"/>
    <mergeCell ref="I2:K2"/>
  </mergeCells>
  <pageMargins left="0.7" right="0.7" top="0.75" bottom="0.75" header="0.3" footer="0.3"/>
  <pageSetup paperSize="9" scale="78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1"/>
  <sheetViews>
    <sheetView view="pageBreakPreview" zoomScaleNormal="100" zoomScaleSheetLayoutView="100" workbookViewId="0">
      <selection activeCell="G14" sqref="G14"/>
    </sheetView>
  </sheetViews>
  <sheetFormatPr defaultColWidth="9.140625" defaultRowHeight="12.75" x14ac:dyDescent="0.2"/>
  <cols>
    <col min="1" max="1" width="18.85546875" style="30" customWidth="1"/>
    <col min="2" max="2" width="7.85546875" style="30" customWidth="1"/>
    <col min="3" max="11" width="14.85546875" style="30" customWidth="1"/>
    <col min="12" max="12" width="11" style="30" customWidth="1"/>
    <col min="13" max="13" width="10.85546875" style="30" customWidth="1"/>
    <col min="14" max="16384" width="9.140625" style="30"/>
  </cols>
  <sheetData>
    <row r="1" spans="1:15" x14ac:dyDescent="0.2">
      <c r="A1" s="30" t="s">
        <v>266</v>
      </c>
    </row>
    <row r="2" spans="1:15" x14ac:dyDescent="0.2">
      <c r="A2" s="30" t="str">
        <f>'3.13.1'!D9</f>
        <v>0701 0210080610 621</v>
      </c>
    </row>
    <row r="3" spans="1:15" ht="33" customHeight="1" x14ac:dyDescent="0.2">
      <c r="A3" s="237" t="s">
        <v>221</v>
      </c>
      <c r="B3" s="237" t="s">
        <v>1</v>
      </c>
      <c r="C3" s="237" t="s">
        <v>264</v>
      </c>
      <c r="D3" s="237"/>
      <c r="E3" s="237"/>
      <c r="F3" s="237" t="s">
        <v>265</v>
      </c>
      <c r="G3" s="237"/>
      <c r="H3" s="237"/>
      <c r="I3" s="237" t="s">
        <v>116</v>
      </c>
      <c r="J3" s="237"/>
      <c r="K3" s="237"/>
    </row>
    <row r="4" spans="1:15" x14ac:dyDescent="0.2">
      <c r="A4" s="237"/>
      <c r="B4" s="237"/>
      <c r="C4" s="104" t="s">
        <v>353</v>
      </c>
      <c r="D4" s="104" t="s">
        <v>455</v>
      </c>
      <c r="E4" s="104" t="s">
        <v>508</v>
      </c>
      <c r="F4" s="104" t="s">
        <v>353</v>
      </c>
      <c r="G4" s="104" t="s">
        <v>455</v>
      </c>
      <c r="H4" s="104" t="s">
        <v>508</v>
      </c>
      <c r="I4" s="104" t="s">
        <v>353</v>
      </c>
      <c r="J4" s="104" t="s">
        <v>455</v>
      </c>
      <c r="K4" s="104" t="s">
        <v>508</v>
      </c>
    </row>
    <row r="5" spans="1:15" ht="38.25" x14ac:dyDescent="0.2">
      <c r="A5" s="237"/>
      <c r="B5" s="237"/>
      <c r="C5" s="104" t="s">
        <v>79</v>
      </c>
      <c r="D5" s="104" t="s">
        <v>80</v>
      </c>
      <c r="E5" s="104" t="s">
        <v>81</v>
      </c>
      <c r="F5" s="104" t="s">
        <v>79</v>
      </c>
      <c r="G5" s="104" t="s">
        <v>80</v>
      </c>
      <c r="H5" s="104" t="s">
        <v>81</v>
      </c>
      <c r="I5" s="104" t="s">
        <v>79</v>
      </c>
      <c r="J5" s="104" t="s">
        <v>80</v>
      </c>
      <c r="K5" s="104" t="s">
        <v>81</v>
      </c>
    </row>
    <row r="6" spans="1:15" x14ac:dyDescent="0.2">
      <c r="A6" s="104">
        <v>1</v>
      </c>
      <c r="B6" s="104">
        <v>2</v>
      </c>
      <c r="C6" s="104">
        <v>3</v>
      </c>
      <c r="D6" s="104">
        <v>4</v>
      </c>
      <c r="E6" s="104">
        <v>5</v>
      </c>
      <c r="F6" s="104">
        <v>6</v>
      </c>
      <c r="G6" s="104">
        <v>7</v>
      </c>
      <c r="H6" s="104">
        <v>8</v>
      </c>
      <c r="I6" s="104">
        <v>9</v>
      </c>
      <c r="J6" s="104">
        <v>10</v>
      </c>
      <c r="K6" s="104">
        <v>11</v>
      </c>
      <c r="L6" s="53" t="s">
        <v>434</v>
      </c>
      <c r="M6" s="53" t="s">
        <v>435</v>
      </c>
      <c r="N6" s="162" t="s">
        <v>480</v>
      </c>
    </row>
    <row r="7" spans="1:15" ht="25.5" x14ac:dyDescent="0.2">
      <c r="A7" s="76" t="s">
        <v>481</v>
      </c>
      <c r="B7" s="104">
        <v>1</v>
      </c>
      <c r="C7" s="163">
        <f>I7/F7</f>
        <v>486.55954428103297</v>
      </c>
      <c r="D7" s="163">
        <f>J7/G7</f>
        <v>467.84546544431919</v>
      </c>
      <c r="E7" s="163">
        <f>K7/H7</f>
        <v>467.84546544431919</v>
      </c>
      <c r="F7" s="110">
        <v>2157.4699999999998</v>
      </c>
      <c r="G7" s="110">
        <v>2243.77</v>
      </c>
      <c r="H7" s="110">
        <v>2243.77</v>
      </c>
      <c r="I7" s="103">
        <f>764002.56+285735.06</f>
        <v>1049737.6200000001</v>
      </c>
      <c r="J7" s="103">
        <f>764002.56+285735.06</f>
        <v>1049737.6200000001</v>
      </c>
      <c r="K7" s="103">
        <f>J7</f>
        <v>1049737.6200000001</v>
      </c>
      <c r="L7" s="54"/>
      <c r="M7" s="54">
        <f>I7-L7</f>
        <v>1049737.6200000001</v>
      </c>
      <c r="N7" s="162">
        <v>247</v>
      </c>
    </row>
    <row r="8" spans="1:15" ht="25.5" x14ac:dyDescent="0.2">
      <c r="A8" s="76" t="s">
        <v>482</v>
      </c>
      <c r="B8" s="104">
        <f>B7+1</f>
        <v>2</v>
      </c>
      <c r="C8" s="163">
        <f t="shared" ref="C8:C18" si="0">I8/F8</f>
        <v>353.46010063420044</v>
      </c>
      <c r="D8" s="163">
        <f t="shared" ref="D8:D18" si="1">J8/G8</f>
        <v>343.33645175394923</v>
      </c>
      <c r="E8" s="163">
        <f t="shared" ref="E8:E18" si="2">K8/H8</f>
        <v>343.33645175394923</v>
      </c>
      <c r="F8" s="110">
        <v>2243.77</v>
      </c>
      <c r="G8" s="110">
        <v>2309.9299999999998</v>
      </c>
      <c r="H8" s="110">
        <v>2309.9299999999998</v>
      </c>
      <c r="I8" s="103">
        <f>97039.43+696043.74</f>
        <v>793083.16999999993</v>
      </c>
      <c r="J8" s="103">
        <f>97039.43+696043.74</f>
        <v>793083.16999999993</v>
      </c>
      <c r="K8" s="103">
        <f t="shared" ref="K8:K22" si="3">J8</f>
        <v>793083.16999999993</v>
      </c>
      <c r="L8" s="54"/>
      <c r="M8" s="54">
        <f t="shared" ref="M8:M22" si="4">I8-L8</f>
        <v>793083.16999999993</v>
      </c>
      <c r="N8" s="162">
        <v>247</v>
      </c>
    </row>
    <row r="9" spans="1:15" ht="25.5" x14ac:dyDescent="0.2">
      <c r="A9" s="31" t="s">
        <v>288</v>
      </c>
      <c r="B9" s="104">
        <f t="shared" ref="B9:B22" si="5">B8+1</f>
        <v>3</v>
      </c>
      <c r="C9" s="163">
        <f t="shared" si="0"/>
        <v>101.9541890218737</v>
      </c>
      <c r="D9" s="163">
        <f t="shared" si="1"/>
        <v>98.049216114308393</v>
      </c>
      <c r="E9" s="163">
        <f t="shared" si="2"/>
        <v>98.049216114308393</v>
      </c>
      <c r="F9" s="110">
        <v>48.46</v>
      </c>
      <c r="G9" s="110">
        <v>50.39</v>
      </c>
      <c r="H9" s="110">
        <v>50.39</v>
      </c>
      <c r="I9" s="103">
        <f>2470.35+2470.35</f>
        <v>4940.7</v>
      </c>
      <c r="J9" s="103">
        <f>2470.35+2470.35</f>
        <v>4940.7</v>
      </c>
      <c r="K9" s="103">
        <f t="shared" si="3"/>
        <v>4940.7</v>
      </c>
      <c r="L9" s="54"/>
      <c r="M9" s="54">
        <f t="shared" si="4"/>
        <v>4940.7</v>
      </c>
      <c r="N9" s="162">
        <v>247</v>
      </c>
    </row>
    <row r="10" spans="1:15" ht="25.5" x14ac:dyDescent="0.2">
      <c r="A10" s="31" t="s">
        <v>289</v>
      </c>
      <c r="B10" s="104">
        <f t="shared" si="5"/>
        <v>4</v>
      </c>
      <c r="C10" s="163">
        <f t="shared" si="0"/>
        <v>100.78249652708871</v>
      </c>
      <c r="D10" s="163">
        <f t="shared" si="1"/>
        <v>97.963541666666671</v>
      </c>
      <c r="E10" s="163">
        <f t="shared" si="2"/>
        <v>97.963541666666671</v>
      </c>
      <c r="F10" s="110">
        <v>50.39</v>
      </c>
      <c r="G10" s="110">
        <v>51.84</v>
      </c>
      <c r="H10" s="110">
        <v>51.84</v>
      </c>
      <c r="I10" s="103">
        <f>2469.72+2608.71</f>
        <v>5078.43</v>
      </c>
      <c r="J10" s="103">
        <f>2469.72+2608.71</f>
        <v>5078.43</v>
      </c>
      <c r="K10" s="103">
        <f t="shared" si="3"/>
        <v>5078.43</v>
      </c>
      <c r="L10" s="54"/>
      <c r="M10" s="54">
        <f t="shared" si="4"/>
        <v>5078.43</v>
      </c>
      <c r="N10" s="162">
        <v>247</v>
      </c>
    </row>
    <row r="11" spans="1:15" ht="25.5" x14ac:dyDescent="0.2">
      <c r="A11" s="76" t="s">
        <v>290</v>
      </c>
      <c r="B11" s="104">
        <f t="shared" si="5"/>
        <v>5</v>
      </c>
      <c r="C11" s="163">
        <f t="shared" si="0"/>
        <v>4.8599980532753646</v>
      </c>
      <c r="D11" s="163">
        <f t="shared" si="1"/>
        <v>4.6730725519995362</v>
      </c>
      <c r="E11" s="163">
        <f t="shared" si="2"/>
        <v>4.6730725519995362</v>
      </c>
      <c r="F11" s="110">
        <v>2157.4699999999998</v>
      </c>
      <c r="G11" s="110">
        <v>2243.77</v>
      </c>
      <c r="H11" s="110">
        <v>2243.77</v>
      </c>
      <c r="I11" s="103">
        <f>5242.65+5242.65</f>
        <v>10485.299999999999</v>
      </c>
      <c r="J11" s="103">
        <f>5242.65+5242.65</f>
        <v>10485.299999999999</v>
      </c>
      <c r="K11" s="103">
        <f t="shared" si="3"/>
        <v>10485.299999999999</v>
      </c>
      <c r="L11" s="54"/>
      <c r="M11" s="54">
        <f t="shared" si="4"/>
        <v>10485.299999999999</v>
      </c>
      <c r="N11" s="162">
        <v>247</v>
      </c>
    </row>
    <row r="12" spans="1:15" ht="25.5" x14ac:dyDescent="0.2">
      <c r="A12" s="76" t="s">
        <v>291</v>
      </c>
      <c r="B12" s="104">
        <f t="shared" si="5"/>
        <v>6</v>
      </c>
      <c r="C12" s="163">
        <f t="shared" si="0"/>
        <v>4.7575197101307181</v>
      </c>
      <c r="D12" s="163">
        <f t="shared" si="1"/>
        <v>4.6212569212054051</v>
      </c>
      <c r="E12" s="163">
        <f t="shared" si="2"/>
        <v>4.6212569212054051</v>
      </c>
      <c r="F12" s="110">
        <v>2243.77</v>
      </c>
      <c r="G12" s="110">
        <v>2309.9299999999998</v>
      </c>
      <c r="H12" s="110">
        <v>2309.9299999999998</v>
      </c>
      <c r="I12" s="103">
        <f>5337.39+5337.39</f>
        <v>10674.78</v>
      </c>
      <c r="J12" s="103">
        <f>5337.39+5337.39</f>
        <v>10674.78</v>
      </c>
      <c r="K12" s="103">
        <f t="shared" si="3"/>
        <v>10674.78</v>
      </c>
      <c r="L12" s="54"/>
      <c r="M12" s="54">
        <f>I12-L12</f>
        <v>10674.78</v>
      </c>
      <c r="N12" s="162">
        <v>247</v>
      </c>
    </row>
    <row r="13" spans="1:15" ht="25.5" x14ac:dyDescent="0.2">
      <c r="A13" s="31" t="s">
        <v>292</v>
      </c>
      <c r="B13" s="104">
        <f t="shared" si="5"/>
        <v>7</v>
      </c>
      <c r="C13" s="163">
        <f t="shared" si="0"/>
        <v>1772.8884083044982</v>
      </c>
      <c r="D13" s="163">
        <f t="shared" si="1"/>
        <v>1661.4989866234291</v>
      </c>
      <c r="E13" s="163">
        <f t="shared" si="2"/>
        <v>1661.4989866234291</v>
      </c>
      <c r="F13" s="110">
        <v>23.12</v>
      </c>
      <c r="G13" s="110">
        <v>24.67</v>
      </c>
      <c r="H13" s="110">
        <v>24.67</v>
      </c>
      <c r="I13" s="103">
        <f>6831.53*6</f>
        <v>40989.18</v>
      </c>
      <c r="J13" s="103">
        <f>6831.53*6</f>
        <v>40989.18</v>
      </c>
      <c r="K13" s="103">
        <f t="shared" si="3"/>
        <v>40989.18</v>
      </c>
      <c r="L13" s="54"/>
      <c r="M13" s="54">
        <f t="shared" si="4"/>
        <v>40989.18</v>
      </c>
      <c r="N13" s="162">
        <v>244</v>
      </c>
      <c r="O13" s="139"/>
    </row>
    <row r="14" spans="1:15" ht="25.5" x14ac:dyDescent="0.2">
      <c r="A14" s="31" t="s">
        <v>295</v>
      </c>
      <c r="B14" s="104">
        <f t="shared" si="5"/>
        <v>8</v>
      </c>
      <c r="C14" s="163">
        <f t="shared" si="0"/>
        <v>1772.7373327928658</v>
      </c>
      <c r="D14" s="163">
        <f t="shared" si="1"/>
        <v>2086.5186068702287</v>
      </c>
      <c r="E14" s="163">
        <f t="shared" si="2"/>
        <v>2086.5186068702287</v>
      </c>
      <c r="F14" s="110">
        <v>24.67</v>
      </c>
      <c r="G14" s="207">
        <v>20.96</v>
      </c>
      <c r="H14" s="110">
        <v>20.96</v>
      </c>
      <c r="I14" s="103">
        <f>7288.85*5+7289.18</f>
        <v>43733.43</v>
      </c>
      <c r="J14" s="103">
        <f>7288.85*5+7289.18</f>
        <v>43733.43</v>
      </c>
      <c r="K14" s="103">
        <f t="shared" si="3"/>
        <v>43733.43</v>
      </c>
      <c r="L14" s="54"/>
      <c r="M14" s="54">
        <f t="shared" si="4"/>
        <v>43733.43</v>
      </c>
      <c r="N14" s="162">
        <v>244</v>
      </c>
    </row>
    <row r="15" spans="1:15" ht="25.5" x14ac:dyDescent="0.2">
      <c r="A15" s="31" t="s">
        <v>293</v>
      </c>
      <c r="B15" s="104">
        <f t="shared" si="5"/>
        <v>9</v>
      </c>
      <c r="C15" s="163">
        <f t="shared" si="0"/>
        <v>1876.4370229007634</v>
      </c>
      <c r="D15" s="163">
        <f t="shared" si="1"/>
        <v>1804.9619091326299</v>
      </c>
      <c r="E15" s="163">
        <f t="shared" si="2"/>
        <v>1804.9619091326299</v>
      </c>
      <c r="F15" s="164">
        <v>20.96</v>
      </c>
      <c r="G15" s="164">
        <v>21.79</v>
      </c>
      <c r="H15" s="164">
        <v>21.79</v>
      </c>
      <c r="I15" s="103">
        <f>6555.02*6</f>
        <v>39330.120000000003</v>
      </c>
      <c r="J15" s="103">
        <f>6555.02*6</f>
        <v>39330.120000000003</v>
      </c>
      <c r="K15" s="103">
        <f t="shared" si="3"/>
        <v>39330.120000000003</v>
      </c>
      <c r="L15" s="54"/>
      <c r="M15" s="54">
        <f t="shared" si="4"/>
        <v>39330.120000000003</v>
      </c>
      <c r="N15" s="162">
        <v>244</v>
      </c>
    </row>
    <row r="16" spans="1:15" ht="25.5" x14ac:dyDescent="0.2">
      <c r="A16" s="31" t="s">
        <v>296</v>
      </c>
      <c r="B16" s="104">
        <f t="shared" si="5"/>
        <v>10</v>
      </c>
      <c r="C16" s="163">
        <f t="shared" si="0"/>
        <v>1879.1771454795778</v>
      </c>
      <c r="D16" s="163">
        <f t="shared" si="1"/>
        <v>1680.9224137931033</v>
      </c>
      <c r="E16" s="163">
        <f t="shared" si="2"/>
        <v>1680.9224137931033</v>
      </c>
      <c r="F16" s="164">
        <v>21.79</v>
      </c>
      <c r="G16" s="164">
        <v>24.36</v>
      </c>
      <c r="H16" s="164">
        <v>24.36</v>
      </c>
      <c r="I16" s="103">
        <f>6813.92*5+6877.67</f>
        <v>40947.269999999997</v>
      </c>
      <c r="J16" s="103">
        <f>6813.92*5+6877.67</f>
        <v>40947.269999999997</v>
      </c>
      <c r="K16" s="103">
        <f t="shared" si="3"/>
        <v>40947.269999999997</v>
      </c>
      <c r="L16" s="54"/>
      <c r="M16" s="54">
        <f t="shared" si="4"/>
        <v>40947.269999999997</v>
      </c>
      <c r="N16" s="162">
        <v>244</v>
      </c>
    </row>
    <row r="17" spans="1:17" ht="25.5" x14ac:dyDescent="0.2">
      <c r="A17" s="76" t="s">
        <v>294</v>
      </c>
      <c r="B17" s="104">
        <f t="shared" si="5"/>
        <v>11</v>
      </c>
      <c r="C17" s="163">
        <f t="shared" si="0"/>
        <v>31944.444444444445</v>
      </c>
      <c r="D17" s="163">
        <f>J17/G17</f>
        <v>31944.444444444445</v>
      </c>
      <c r="E17" s="163">
        <f t="shared" si="2"/>
        <v>31944.444444444445</v>
      </c>
      <c r="F17" s="110">
        <v>7.2</v>
      </c>
      <c r="G17" s="110">
        <v>7.2</v>
      </c>
      <c r="H17" s="110">
        <v>7.2</v>
      </c>
      <c r="I17" s="103">
        <v>230000</v>
      </c>
      <c r="J17" s="103">
        <v>230000</v>
      </c>
      <c r="K17" s="103">
        <f t="shared" si="3"/>
        <v>230000</v>
      </c>
      <c r="L17" s="54"/>
      <c r="M17" s="54">
        <f t="shared" si="4"/>
        <v>230000</v>
      </c>
      <c r="N17" s="162">
        <v>247</v>
      </c>
    </row>
    <row r="18" spans="1:17" ht="25.5" x14ac:dyDescent="0.2">
      <c r="A18" s="76" t="s">
        <v>297</v>
      </c>
      <c r="B18" s="104">
        <f t="shared" si="5"/>
        <v>12</v>
      </c>
      <c r="C18" s="163">
        <f t="shared" si="0"/>
        <v>31944.444444444445</v>
      </c>
      <c r="D18" s="163">
        <f t="shared" si="1"/>
        <v>31944.444444444445</v>
      </c>
      <c r="E18" s="163">
        <f t="shared" si="2"/>
        <v>31944.444444444445</v>
      </c>
      <c r="F18" s="110">
        <v>7.2</v>
      </c>
      <c r="G18" s="110">
        <v>7.2</v>
      </c>
      <c r="H18" s="110">
        <v>7.2</v>
      </c>
      <c r="I18" s="103">
        <v>230000</v>
      </c>
      <c r="J18" s="103">
        <v>230000</v>
      </c>
      <c r="K18" s="103">
        <f t="shared" si="3"/>
        <v>230000</v>
      </c>
      <c r="L18" s="54"/>
      <c r="M18" s="54">
        <f t="shared" si="4"/>
        <v>230000</v>
      </c>
      <c r="N18" s="162">
        <v>247</v>
      </c>
    </row>
    <row r="19" spans="1:17" ht="38.25" x14ac:dyDescent="0.2">
      <c r="A19" s="31" t="s">
        <v>477</v>
      </c>
      <c r="B19" s="104">
        <f t="shared" si="5"/>
        <v>13</v>
      </c>
      <c r="C19" s="163">
        <f t="shared" ref="C19:E22" si="6">I19/F19</f>
        <v>62.517875103709443</v>
      </c>
      <c r="D19" s="163">
        <f t="shared" si="6"/>
        <v>60.113309296407387</v>
      </c>
      <c r="E19" s="163">
        <f t="shared" si="6"/>
        <v>60.113309296407387</v>
      </c>
      <c r="F19" s="110">
        <v>2157.4699999999998</v>
      </c>
      <c r="G19" s="110">
        <v>2243.77</v>
      </c>
      <c r="H19" s="110">
        <v>2243.77</v>
      </c>
      <c r="I19" s="103">
        <v>134880.44</v>
      </c>
      <c r="J19" s="103">
        <v>134880.44</v>
      </c>
      <c r="K19" s="103">
        <f t="shared" si="3"/>
        <v>134880.44</v>
      </c>
      <c r="L19" s="54"/>
      <c r="M19" s="54">
        <f t="shared" si="4"/>
        <v>134880.44</v>
      </c>
      <c r="N19" s="162">
        <v>244</v>
      </c>
    </row>
    <row r="20" spans="1:17" ht="38.25" x14ac:dyDescent="0.2">
      <c r="A20" s="31" t="s">
        <v>478</v>
      </c>
      <c r="B20" s="104">
        <f t="shared" si="5"/>
        <v>14</v>
      </c>
      <c r="C20" s="163">
        <f t="shared" si="6"/>
        <v>60.113309296407387</v>
      </c>
      <c r="D20" s="163">
        <f t="shared" si="6"/>
        <v>58.391570307325338</v>
      </c>
      <c r="E20" s="163">
        <f t="shared" si="6"/>
        <v>58.391570307325338</v>
      </c>
      <c r="F20" s="110">
        <v>2243.77</v>
      </c>
      <c r="G20" s="110">
        <v>2309.9299999999998</v>
      </c>
      <c r="H20" s="110">
        <v>2309.9299999999998</v>
      </c>
      <c r="I20" s="103">
        <v>134880.44</v>
      </c>
      <c r="J20" s="103">
        <v>134880.44</v>
      </c>
      <c r="K20" s="103">
        <f t="shared" si="3"/>
        <v>134880.44</v>
      </c>
      <c r="L20" s="54"/>
      <c r="M20" s="54">
        <f t="shared" si="4"/>
        <v>134880.44</v>
      </c>
      <c r="N20" s="162">
        <v>244</v>
      </c>
    </row>
    <row r="21" spans="1:17" x14ac:dyDescent="0.2">
      <c r="A21" s="31" t="s">
        <v>513</v>
      </c>
      <c r="B21" s="104">
        <f t="shared" si="5"/>
        <v>15</v>
      </c>
      <c r="C21" s="163">
        <f t="shared" si="6"/>
        <v>19.51500316865992</v>
      </c>
      <c r="D21" s="163">
        <f t="shared" si="6"/>
        <v>19.51500316865992</v>
      </c>
      <c r="E21" s="163">
        <f t="shared" si="6"/>
        <v>19.51500316865992</v>
      </c>
      <c r="F21" s="110">
        <v>1719.97</v>
      </c>
      <c r="G21" s="110">
        <v>1719.97</v>
      </c>
      <c r="H21" s="110">
        <v>1719.97</v>
      </c>
      <c r="I21" s="103">
        <v>33565.22</v>
      </c>
      <c r="J21" s="103">
        <v>33565.22</v>
      </c>
      <c r="K21" s="103">
        <f t="shared" si="3"/>
        <v>33565.22</v>
      </c>
      <c r="L21" s="54"/>
      <c r="M21" s="54">
        <f t="shared" si="4"/>
        <v>33565.22</v>
      </c>
      <c r="N21" s="162">
        <v>244</v>
      </c>
    </row>
    <row r="22" spans="1:17" x14ac:dyDescent="0.2">
      <c r="A22" s="31" t="s">
        <v>514</v>
      </c>
      <c r="B22" s="104">
        <f t="shared" si="5"/>
        <v>16</v>
      </c>
      <c r="C22" s="163">
        <f t="shared" si="6"/>
        <v>18.764413535557953</v>
      </c>
      <c r="D22" s="163">
        <f t="shared" si="6"/>
        <v>18.764413535557953</v>
      </c>
      <c r="E22" s="163">
        <f t="shared" si="6"/>
        <v>18.764413535557953</v>
      </c>
      <c r="F22" s="110">
        <v>1788.77</v>
      </c>
      <c r="G22" s="110">
        <v>1788.77</v>
      </c>
      <c r="H22" s="110">
        <v>1788.77</v>
      </c>
      <c r="I22" s="103">
        <v>33565.22</v>
      </c>
      <c r="J22" s="103">
        <v>33565.22</v>
      </c>
      <c r="K22" s="103">
        <f t="shared" si="3"/>
        <v>33565.22</v>
      </c>
      <c r="L22" s="54"/>
      <c r="M22" s="54">
        <f t="shared" si="4"/>
        <v>33565.22</v>
      </c>
      <c r="N22" s="162">
        <v>244</v>
      </c>
    </row>
    <row r="23" spans="1:17" ht="12.75" customHeight="1" x14ac:dyDescent="0.2">
      <c r="A23" s="31" t="s">
        <v>136</v>
      </c>
      <c r="B23" s="104">
        <v>9000</v>
      </c>
      <c r="C23" s="104" t="s">
        <v>12</v>
      </c>
      <c r="D23" s="104" t="s">
        <v>12</v>
      </c>
      <c r="E23" s="104" t="s">
        <v>12</v>
      </c>
      <c r="F23" s="104" t="s">
        <v>12</v>
      </c>
      <c r="G23" s="104" t="s">
        <v>12</v>
      </c>
      <c r="H23" s="104" t="s">
        <v>12</v>
      </c>
      <c r="I23" s="32">
        <f>SUM(I7:I22)</f>
        <v>2835891.3200000003</v>
      </c>
      <c r="J23" s="32">
        <f>SUM(J7:J22)</f>
        <v>2835891.3200000003</v>
      </c>
      <c r="K23" s="32">
        <f>SUM(K7:K22)</f>
        <v>2835891.3200000003</v>
      </c>
      <c r="L23" s="55">
        <f>SUM(L7:L22)</f>
        <v>0</v>
      </c>
      <c r="M23" s="55">
        <f>SUM(M7:M22)</f>
        <v>2835891.3200000003</v>
      </c>
      <c r="N23" s="55"/>
      <c r="O23" s="165"/>
      <c r="Q23" s="139">
        <f>2835891.32-I23</f>
        <v>0</v>
      </c>
    </row>
    <row r="24" spans="1:17" x14ac:dyDescent="0.2">
      <c r="A24" s="133"/>
      <c r="B24" s="108"/>
      <c r="C24" s="108"/>
      <c r="D24" s="108"/>
      <c r="E24" s="108"/>
      <c r="F24" s="108"/>
      <c r="G24" s="108"/>
      <c r="H24" s="108"/>
      <c r="I24" s="134"/>
      <c r="J24" s="134"/>
      <c r="K24" s="134"/>
      <c r="L24" s="55">
        <f>L23</f>
        <v>0</v>
      </c>
      <c r="M24" s="55">
        <f>M23</f>
        <v>2835891.3200000003</v>
      </c>
      <c r="N24" s="162"/>
    </row>
    <row r="25" spans="1:17" hidden="1" x14ac:dyDescent="0.2">
      <c r="A25" s="30" t="str">
        <f>'3.13.1'!F9</f>
        <v>0701 021R373980 622</v>
      </c>
      <c r="L25" s="128"/>
      <c r="M25" s="128"/>
    </row>
    <row r="26" spans="1:17" hidden="1" x14ac:dyDescent="0.2">
      <c r="A26" s="237" t="s">
        <v>221</v>
      </c>
      <c r="B26" s="237" t="s">
        <v>1</v>
      </c>
      <c r="C26" s="237" t="s">
        <v>264</v>
      </c>
      <c r="D26" s="237"/>
      <c r="E26" s="237"/>
      <c r="F26" s="237" t="s">
        <v>265</v>
      </c>
      <c r="G26" s="237"/>
      <c r="H26" s="237"/>
      <c r="I26" s="237" t="s">
        <v>116</v>
      </c>
      <c r="J26" s="237"/>
      <c r="K26" s="237"/>
      <c r="L26" s="128"/>
      <c r="M26" s="128"/>
    </row>
    <row r="27" spans="1:17" hidden="1" x14ac:dyDescent="0.2">
      <c r="A27" s="237"/>
      <c r="B27" s="237"/>
      <c r="C27" s="104" t="s">
        <v>330</v>
      </c>
      <c r="D27" s="104" t="s">
        <v>331</v>
      </c>
      <c r="E27" s="104" t="s">
        <v>353</v>
      </c>
      <c r="F27" s="104" t="s">
        <v>330</v>
      </c>
      <c r="G27" s="104" t="s">
        <v>331</v>
      </c>
      <c r="H27" s="104" t="s">
        <v>353</v>
      </c>
      <c r="I27" s="104" t="s">
        <v>330</v>
      </c>
      <c r="J27" s="104" t="s">
        <v>331</v>
      </c>
      <c r="K27" s="104" t="s">
        <v>353</v>
      </c>
      <c r="L27" s="128"/>
      <c r="M27" s="128"/>
    </row>
    <row r="28" spans="1:17" ht="38.25" hidden="1" x14ac:dyDescent="0.2">
      <c r="A28" s="237"/>
      <c r="B28" s="237"/>
      <c r="C28" s="104" t="s">
        <v>79</v>
      </c>
      <c r="D28" s="104" t="s">
        <v>80</v>
      </c>
      <c r="E28" s="104" t="s">
        <v>81</v>
      </c>
      <c r="F28" s="104" t="s">
        <v>79</v>
      </c>
      <c r="G28" s="104" t="s">
        <v>80</v>
      </c>
      <c r="H28" s="104" t="s">
        <v>81</v>
      </c>
      <c r="I28" s="104" t="s">
        <v>79</v>
      </c>
      <c r="J28" s="104" t="s">
        <v>80</v>
      </c>
      <c r="K28" s="104" t="s">
        <v>81</v>
      </c>
      <c r="L28" s="128"/>
      <c r="M28" s="128"/>
    </row>
    <row r="29" spans="1:17" hidden="1" x14ac:dyDescent="0.2">
      <c r="A29" s="104">
        <v>1</v>
      </c>
      <c r="B29" s="104">
        <v>2</v>
      </c>
      <c r="C29" s="104">
        <v>3</v>
      </c>
      <c r="D29" s="104">
        <v>4</v>
      </c>
      <c r="E29" s="104">
        <v>5</v>
      </c>
      <c r="F29" s="104">
        <v>6</v>
      </c>
      <c r="G29" s="104">
        <v>7</v>
      </c>
      <c r="H29" s="104">
        <v>8</v>
      </c>
      <c r="I29" s="104">
        <v>9</v>
      </c>
      <c r="J29" s="104">
        <v>10</v>
      </c>
      <c r="K29" s="104">
        <v>11</v>
      </c>
      <c r="L29" s="53" t="s">
        <v>434</v>
      </c>
      <c r="M29" s="53" t="s">
        <v>435</v>
      </c>
    </row>
    <row r="30" spans="1:17" ht="25.5" hidden="1" x14ac:dyDescent="0.2">
      <c r="A30" s="31" t="s">
        <v>430</v>
      </c>
      <c r="B30" s="104">
        <v>1</v>
      </c>
      <c r="C30" s="166">
        <f>I30/F30</f>
        <v>0</v>
      </c>
      <c r="D30" s="166">
        <v>0</v>
      </c>
      <c r="E30" s="166">
        <v>0</v>
      </c>
      <c r="F30" s="31">
        <v>7.2</v>
      </c>
      <c r="G30" s="31">
        <v>7.2</v>
      </c>
      <c r="H30" s="31">
        <v>7.2</v>
      </c>
      <c r="I30" s="103">
        <f>3.99-3.99</f>
        <v>0</v>
      </c>
      <c r="J30" s="103">
        <v>0</v>
      </c>
      <c r="K30" s="103">
        <v>0</v>
      </c>
      <c r="L30" s="54">
        <v>0</v>
      </c>
      <c r="M30" s="54">
        <f>I30-L30</f>
        <v>0</v>
      </c>
    </row>
    <row r="31" spans="1:17" hidden="1" x14ac:dyDescent="0.2">
      <c r="A31" s="31" t="s">
        <v>136</v>
      </c>
      <c r="B31" s="104">
        <v>9000</v>
      </c>
      <c r="C31" s="104" t="s">
        <v>12</v>
      </c>
      <c r="D31" s="104" t="s">
        <v>12</v>
      </c>
      <c r="E31" s="104" t="s">
        <v>12</v>
      </c>
      <c r="F31" s="104" t="s">
        <v>12</v>
      </c>
      <c r="G31" s="104" t="s">
        <v>12</v>
      </c>
      <c r="H31" s="104" t="s">
        <v>12</v>
      </c>
      <c r="I31" s="32">
        <f>SUM(I30:I30)</f>
        <v>0</v>
      </c>
      <c r="J31" s="32">
        <f>SUM(J30:J30)</f>
        <v>0</v>
      </c>
      <c r="K31" s="32">
        <f>SUM(K30:K30)</f>
        <v>0</v>
      </c>
      <c r="L31" s="55">
        <f>SUM(L30)</f>
        <v>0</v>
      </c>
      <c r="M31" s="55">
        <f>SUM(M30)</f>
        <v>0</v>
      </c>
    </row>
  </sheetData>
  <mergeCells count="10">
    <mergeCell ref="A3:A5"/>
    <mergeCell ref="B3:B5"/>
    <mergeCell ref="C3:E3"/>
    <mergeCell ref="F3:H3"/>
    <mergeCell ref="I3:K3"/>
    <mergeCell ref="A26:A28"/>
    <mergeCell ref="B26:B28"/>
    <mergeCell ref="C26:E26"/>
    <mergeCell ref="F26:H26"/>
    <mergeCell ref="I26:K26"/>
  </mergeCells>
  <pageMargins left="0.70866141732283472" right="0.70866141732283472" top="0.74803149606299213" bottom="0.74803149606299213" header="0.31496062992125984" footer="0.31496062992125984"/>
  <pageSetup paperSize="9" scale="8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E25"/>
  <sheetViews>
    <sheetView view="pageBreakPreview" zoomScaleNormal="100" zoomScaleSheetLayoutView="100" workbookViewId="0">
      <selection activeCell="E13" sqref="E13:E14"/>
    </sheetView>
  </sheetViews>
  <sheetFormatPr defaultColWidth="9.140625" defaultRowHeight="12.75" x14ac:dyDescent="0.2"/>
  <cols>
    <col min="1" max="1" width="33.85546875" style="2" customWidth="1"/>
    <col min="2" max="2" width="9.140625" style="2"/>
    <col min="3" max="5" width="18.42578125" style="2" customWidth="1"/>
    <col min="6" max="16384" width="9.140625" style="2"/>
  </cols>
  <sheetData>
    <row r="1" spans="1:5" x14ac:dyDescent="0.2">
      <c r="A1" s="2" t="s">
        <v>146</v>
      </c>
    </row>
    <row r="3" spans="1:5" x14ac:dyDescent="0.2">
      <c r="A3" s="2" t="s">
        <v>145</v>
      </c>
    </row>
    <row r="5" spans="1:5" ht="24" customHeight="1" x14ac:dyDescent="0.2">
      <c r="A5" s="8" t="s">
        <v>138</v>
      </c>
    </row>
    <row r="6" spans="1:5" x14ac:dyDescent="0.2">
      <c r="A6" s="231" t="s">
        <v>0</v>
      </c>
      <c r="B6" s="231" t="s">
        <v>1</v>
      </c>
      <c r="C6" s="231" t="s">
        <v>116</v>
      </c>
      <c r="D6" s="231"/>
      <c r="E6" s="231"/>
    </row>
    <row r="7" spans="1:5" x14ac:dyDescent="0.2">
      <c r="A7" s="231"/>
      <c r="B7" s="231"/>
      <c r="C7" s="1" t="s">
        <v>4</v>
      </c>
      <c r="D7" s="1" t="s">
        <v>4</v>
      </c>
      <c r="E7" s="1" t="s">
        <v>4</v>
      </c>
    </row>
    <row r="8" spans="1:5" ht="25.5" x14ac:dyDescent="0.2">
      <c r="A8" s="231"/>
      <c r="B8" s="231"/>
      <c r="C8" s="1" t="s">
        <v>79</v>
      </c>
      <c r="D8" s="1" t="s">
        <v>80</v>
      </c>
      <c r="E8" s="1" t="s">
        <v>81</v>
      </c>
    </row>
    <row r="9" spans="1:5" x14ac:dyDescent="0.2">
      <c r="A9" s="1">
        <v>1</v>
      </c>
      <c r="B9" s="1">
        <v>2</v>
      </c>
      <c r="C9" s="1">
        <v>3</v>
      </c>
      <c r="D9" s="1">
        <v>4</v>
      </c>
      <c r="E9" s="1">
        <v>5</v>
      </c>
    </row>
    <row r="10" spans="1:5" ht="38.25" x14ac:dyDescent="0.2">
      <c r="A10" s="4" t="s">
        <v>117</v>
      </c>
      <c r="B10" s="1">
        <v>100</v>
      </c>
      <c r="C10" s="4"/>
      <c r="D10" s="4"/>
      <c r="E10" s="4"/>
    </row>
    <row r="11" spans="1:5" ht="51" x14ac:dyDescent="0.2">
      <c r="A11" s="4" t="s">
        <v>118</v>
      </c>
      <c r="B11" s="1">
        <v>200</v>
      </c>
      <c r="C11" s="4"/>
      <c r="D11" s="4"/>
      <c r="E11" s="4"/>
    </row>
    <row r="12" spans="1:5" x14ac:dyDescent="0.2">
      <c r="A12" s="4" t="s">
        <v>119</v>
      </c>
      <c r="B12" s="1">
        <v>300</v>
      </c>
      <c r="C12" s="4"/>
      <c r="D12" s="4"/>
      <c r="E12" s="4"/>
    </row>
    <row r="13" spans="1:5" x14ac:dyDescent="0.2">
      <c r="A13" s="4" t="s">
        <v>15</v>
      </c>
      <c r="B13" s="231">
        <v>310</v>
      </c>
      <c r="C13" s="232"/>
      <c r="D13" s="232"/>
      <c r="E13" s="232"/>
    </row>
    <row r="14" spans="1:5" ht="51" x14ac:dyDescent="0.2">
      <c r="A14" s="4" t="s">
        <v>17</v>
      </c>
      <c r="B14" s="231"/>
      <c r="C14" s="232"/>
      <c r="D14" s="232"/>
      <c r="E14" s="232"/>
    </row>
    <row r="15" spans="1:5" ht="25.5" x14ac:dyDescent="0.2">
      <c r="A15" s="4" t="s">
        <v>120</v>
      </c>
      <c r="B15" s="1">
        <v>320</v>
      </c>
      <c r="C15" s="4"/>
      <c r="D15" s="4"/>
      <c r="E15" s="4"/>
    </row>
    <row r="16" spans="1:5" ht="38.25" x14ac:dyDescent="0.2">
      <c r="A16" s="4" t="s">
        <v>18</v>
      </c>
      <c r="B16" s="1">
        <v>330</v>
      </c>
      <c r="C16" s="4"/>
      <c r="D16" s="4"/>
      <c r="E16" s="4"/>
    </row>
    <row r="17" spans="1:5" ht="38.25" x14ac:dyDescent="0.2">
      <c r="A17" s="4" t="s">
        <v>19</v>
      </c>
      <c r="B17" s="1">
        <v>340</v>
      </c>
      <c r="C17" s="4"/>
      <c r="D17" s="4"/>
      <c r="E17" s="4"/>
    </row>
    <row r="18" spans="1:5" ht="25.5" x14ac:dyDescent="0.2">
      <c r="A18" s="4" t="s">
        <v>121</v>
      </c>
      <c r="B18" s="1">
        <v>350</v>
      </c>
      <c r="C18" s="4"/>
      <c r="D18" s="4"/>
      <c r="E18" s="4"/>
    </row>
    <row r="19" spans="1:5" ht="25.5" x14ac:dyDescent="0.2">
      <c r="A19" s="4" t="s">
        <v>122</v>
      </c>
      <c r="B19" s="1">
        <v>360</v>
      </c>
      <c r="C19" s="4"/>
      <c r="D19" s="4"/>
      <c r="E19" s="4"/>
    </row>
    <row r="20" spans="1:5" ht="63.75" x14ac:dyDescent="0.2">
      <c r="A20" s="4" t="s">
        <v>123</v>
      </c>
      <c r="B20" s="1">
        <v>370</v>
      </c>
      <c r="C20" s="4"/>
      <c r="D20" s="4"/>
      <c r="E20" s="4"/>
    </row>
    <row r="21" spans="1:5" ht="51" x14ac:dyDescent="0.2">
      <c r="A21" s="4" t="s">
        <v>124</v>
      </c>
      <c r="B21" s="1">
        <v>380</v>
      </c>
      <c r="C21" s="4"/>
      <c r="D21" s="4"/>
      <c r="E21" s="4"/>
    </row>
    <row r="22" spans="1:5" ht="38.25" x14ac:dyDescent="0.2">
      <c r="A22" s="4" t="s">
        <v>125</v>
      </c>
      <c r="B22" s="1">
        <v>390</v>
      </c>
      <c r="C22" s="4"/>
      <c r="D22" s="4"/>
      <c r="E22" s="4"/>
    </row>
    <row r="23" spans="1:5" ht="38.25" x14ac:dyDescent="0.2">
      <c r="A23" s="4" t="s">
        <v>126</v>
      </c>
      <c r="B23" s="1">
        <v>400</v>
      </c>
      <c r="C23" s="4"/>
      <c r="D23" s="4"/>
      <c r="E23" s="4"/>
    </row>
    <row r="24" spans="1:5" ht="51" x14ac:dyDescent="0.2">
      <c r="A24" s="4" t="s">
        <v>127</v>
      </c>
      <c r="B24" s="1">
        <v>500</v>
      </c>
      <c r="C24" s="4"/>
      <c r="D24" s="4"/>
      <c r="E24" s="4"/>
    </row>
    <row r="25" spans="1:5" ht="38.25" x14ac:dyDescent="0.2">
      <c r="A25" s="4" t="s">
        <v>128</v>
      </c>
      <c r="B25" s="1">
        <v>600</v>
      </c>
      <c r="C25" s="4"/>
      <c r="D25" s="4"/>
      <c r="E25" s="4"/>
    </row>
  </sheetData>
  <mergeCells count="7">
    <mergeCell ref="A6:A8"/>
    <mergeCell ref="B6:B8"/>
    <mergeCell ref="C6:E6"/>
    <mergeCell ref="B13:B14"/>
    <mergeCell ref="C13:C14"/>
    <mergeCell ref="D13:D14"/>
    <mergeCell ref="E13:E14"/>
  </mergeCells>
  <pageMargins left="0.7" right="0.7" top="0.75" bottom="0.75" header="0.3" footer="0.3"/>
  <pageSetup paperSize="9" scale="88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N9"/>
  <sheetViews>
    <sheetView zoomScaleNormal="100" workbookViewId="0">
      <selection activeCell="K9" sqref="K9"/>
    </sheetView>
  </sheetViews>
  <sheetFormatPr defaultColWidth="9.140625" defaultRowHeight="12.75" x14ac:dyDescent="0.2"/>
  <cols>
    <col min="1" max="1" width="17.85546875" style="2" customWidth="1"/>
    <col min="2" max="2" width="9.140625" style="2"/>
    <col min="3" max="14" width="14.85546875" style="2" customWidth="1"/>
    <col min="15" max="16384" width="9.140625" style="2"/>
  </cols>
  <sheetData>
    <row r="1" spans="1:14" x14ac:dyDescent="0.2">
      <c r="A1" s="2" t="s">
        <v>270</v>
      </c>
    </row>
    <row r="2" spans="1:14" ht="47.25" customHeight="1" x14ac:dyDescent="0.2">
      <c r="A2" s="231" t="s">
        <v>221</v>
      </c>
      <c r="B2" s="231" t="s">
        <v>1</v>
      </c>
      <c r="C2" s="231" t="s">
        <v>267</v>
      </c>
      <c r="D2" s="231"/>
      <c r="E2" s="231"/>
      <c r="F2" s="231" t="s">
        <v>268</v>
      </c>
      <c r="G2" s="231"/>
      <c r="H2" s="231"/>
      <c r="I2" s="264" t="s">
        <v>269</v>
      </c>
      <c r="J2" s="265"/>
      <c r="K2" s="265"/>
      <c r="L2" s="264" t="s">
        <v>116</v>
      </c>
      <c r="M2" s="265"/>
      <c r="N2" s="266"/>
    </row>
    <row r="3" spans="1:14" x14ac:dyDescent="0.2">
      <c r="A3" s="231"/>
      <c r="B3" s="231"/>
      <c r="C3" s="1" t="s">
        <v>4</v>
      </c>
      <c r="D3" s="1" t="s">
        <v>4</v>
      </c>
      <c r="E3" s="1" t="s">
        <v>4</v>
      </c>
      <c r="F3" s="1" t="s">
        <v>4</v>
      </c>
      <c r="G3" s="1" t="s">
        <v>4</v>
      </c>
      <c r="H3" s="1" t="s">
        <v>4</v>
      </c>
      <c r="I3" s="1" t="s">
        <v>4</v>
      </c>
      <c r="J3" s="1" t="s">
        <v>4</v>
      </c>
      <c r="K3" s="4" t="s">
        <v>4</v>
      </c>
      <c r="L3" s="11" t="s">
        <v>4</v>
      </c>
      <c r="M3" s="1" t="s">
        <v>4</v>
      </c>
      <c r="N3" s="1" t="s">
        <v>4</v>
      </c>
    </row>
    <row r="4" spans="1:14" ht="38.25" x14ac:dyDescent="0.2">
      <c r="A4" s="231"/>
      <c r="B4" s="231"/>
      <c r="C4" s="1" t="s">
        <v>79</v>
      </c>
      <c r="D4" s="1" t="s">
        <v>80</v>
      </c>
      <c r="E4" s="1" t="s">
        <v>81</v>
      </c>
      <c r="F4" s="1" t="s">
        <v>79</v>
      </c>
      <c r="G4" s="1" t="s">
        <v>80</v>
      </c>
      <c r="H4" s="1" t="s">
        <v>81</v>
      </c>
      <c r="I4" s="4" t="s">
        <v>79</v>
      </c>
      <c r="J4" s="1" t="s">
        <v>80</v>
      </c>
      <c r="K4" s="1" t="s">
        <v>81</v>
      </c>
      <c r="L4" s="11" t="s">
        <v>79</v>
      </c>
      <c r="M4" s="1" t="s">
        <v>80</v>
      </c>
      <c r="N4" s="1" t="s">
        <v>81</v>
      </c>
    </row>
    <row r="5" spans="1:14" x14ac:dyDescent="0.2">
      <c r="A5" s="1">
        <v>1</v>
      </c>
      <c r="B5" s="1">
        <v>2</v>
      </c>
      <c r="C5" s="1">
        <v>3</v>
      </c>
      <c r="D5" s="1">
        <v>4</v>
      </c>
      <c r="E5" s="1">
        <v>5</v>
      </c>
      <c r="F5" s="1">
        <v>6</v>
      </c>
      <c r="G5" s="1">
        <v>7</v>
      </c>
      <c r="H5" s="1">
        <v>8</v>
      </c>
      <c r="I5" s="1">
        <v>10</v>
      </c>
      <c r="J5" s="1">
        <v>11</v>
      </c>
      <c r="K5" s="4">
        <v>9</v>
      </c>
      <c r="L5" s="11">
        <v>12</v>
      </c>
      <c r="M5" s="1">
        <v>13</v>
      </c>
      <c r="N5" s="1">
        <v>14</v>
      </c>
    </row>
    <row r="6" spans="1:14" x14ac:dyDescent="0.2">
      <c r="A6" s="4"/>
      <c r="B6" s="1">
        <v>1</v>
      </c>
      <c r="C6" s="4"/>
      <c r="D6" s="4"/>
      <c r="E6" s="4"/>
      <c r="F6" s="4"/>
      <c r="G6" s="4"/>
      <c r="H6" s="4"/>
      <c r="I6" s="4"/>
      <c r="J6" s="4"/>
      <c r="K6" s="4"/>
      <c r="L6" s="7"/>
      <c r="M6" s="4"/>
      <c r="N6" s="4"/>
    </row>
    <row r="7" spans="1:14" x14ac:dyDescent="0.2">
      <c r="A7" s="4"/>
      <c r="B7" s="1">
        <v>2</v>
      </c>
      <c r="C7" s="4"/>
      <c r="D7" s="4"/>
      <c r="E7" s="4"/>
      <c r="F7" s="4"/>
      <c r="G7" s="4"/>
      <c r="H7" s="4"/>
      <c r="I7" s="4"/>
      <c r="J7" s="4"/>
      <c r="K7" s="4"/>
      <c r="L7" s="7"/>
      <c r="M7" s="4"/>
      <c r="N7" s="4"/>
    </row>
    <row r="8" spans="1:14" x14ac:dyDescent="0.2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7"/>
      <c r="M8" s="4"/>
      <c r="N8" s="4"/>
    </row>
    <row r="9" spans="1:14" x14ac:dyDescent="0.2">
      <c r="A9" s="4" t="s">
        <v>136</v>
      </c>
      <c r="B9" s="1">
        <v>9000</v>
      </c>
      <c r="C9" s="1" t="s">
        <v>12</v>
      </c>
      <c r="D9" s="1" t="s">
        <v>12</v>
      </c>
      <c r="E9" s="1" t="s">
        <v>12</v>
      </c>
      <c r="F9" s="1" t="s">
        <v>12</v>
      </c>
      <c r="G9" s="1" t="s">
        <v>12</v>
      </c>
      <c r="H9" s="1" t="s">
        <v>12</v>
      </c>
      <c r="I9" s="1" t="s">
        <v>12</v>
      </c>
      <c r="J9" s="1" t="s">
        <v>12</v>
      </c>
      <c r="K9" s="1" t="s">
        <v>12</v>
      </c>
      <c r="L9" s="7"/>
      <c r="M9" s="4"/>
      <c r="N9" s="4"/>
    </row>
  </sheetData>
  <mergeCells count="6">
    <mergeCell ref="I2:K2"/>
    <mergeCell ref="L2:N2"/>
    <mergeCell ref="A2:A4"/>
    <mergeCell ref="B2:B4"/>
    <mergeCell ref="C2:E2"/>
    <mergeCell ref="F2:H2"/>
  </mergeCells>
  <pageMargins left="0.7" right="0.7" top="0.75" bottom="0.75" header="0.3" footer="0.3"/>
  <pageSetup paperSize="9" scale="63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6"/>
  <sheetViews>
    <sheetView view="pageBreakPreview" topLeftCell="A34" zoomScaleNormal="100" zoomScaleSheetLayoutView="100" workbookViewId="0">
      <selection activeCell="H55" sqref="H55"/>
    </sheetView>
  </sheetViews>
  <sheetFormatPr defaultColWidth="9.140625" defaultRowHeight="12.75" x14ac:dyDescent="0.2"/>
  <cols>
    <col min="1" max="1" width="29.42578125" style="30" customWidth="1"/>
    <col min="2" max="2" width="7.42578125" style="30" customWidth="1"/>
    <col min="3" max="11" width="16.7109375" style="30" customWidth="1"/>
    <col min="12" max="12" width="10.42578125" style="30" bestFit="1" customWidth="1"/>
    <col min="13" max="13" width="12.140625" style="30" customWidth="1"/>
    <col min="14" max="16384" width="9.140625" style="30"/>
  </cols>
  <sheetData>
    <row r="1" spans="1:13" x14ac:dyDescent="0.2">
      <c r="A1" s="30" t="s">
        <v>273</v>
      </c>
    </row>
    <row r="3" spans="1:13" x14ac:dyDescent="0.2">
      <c r="A3" s="30" t="str">
        <f>'3.13.1'!D9</f>
        <v>0701 0210080610 621</v>
      </c>
    </row>
    <row r="4" spans="1:13" x14ac:dyDescent="0.2">
      <c r="A4" s="237" t="s">
        <v>221</v>
      </c>
      <c r="B4" s="237" t="s">
        <v>1</v>
      </c>
      <c r="C4" s="237" t="s">
        <v>271</v>
      </c>
      <c r="D4" s="237"/>
      <c r="E4" s="237"/>
      <c r="F4" s="237" t="s">
        <v>272</v>
      </c>
      <c r="G4" s="237"/>
      <c r="H4" s="237"/>
      <c r="I4" s="237" t="s">
        <v>116</v>
      </c>
      <c r="J4" s="237"/>
      <c r="K4" s="237"/>
    </row>
    <row r="5" spans="1:13" x14ac:dyDescent="0.2">
      <c r="A5" s="237"/>
      <c r="B5" s="237"/>
      <c r="C5" s="104" t="s">
        <v>353</v>
      </c>
      <c r="D5" s="104" t="s">
        <v>455</v>
      </c>
      <c r="E5" s="104" t="s">
        <v>508</v>
      </c>
      <c r="F5" s="104" t="s">
        <v>353</v>
      </c>
      <c r="G5" s="104" t="s">
        <v>455</v>
      </c>
      <c r="H5" s="104" t="s">
        <v>508</v>
      </c>
      <c r="I5" s="104" t="s">
        <v>353</v>
      </c>
      <c r="J5" s="104" t="s">
        <v>455</v>
      </c>
      <c r="K5" s="104" t="s">
        <v>508</v>
      </c>
    </row>
    <row r="6" spans="1:13" ht="38.25" x14ac:dyDescent="0.2">
      <c r="A6" s="237"/>
      <c r="B6" s="237"/>
      <c r="C6" s="104" t="s">
        <v>79</v>
      </c>
      <c r="D6" s="104" t="s">
        <v>80</v>
      </c>
      <c r="E6" s="104" t="s">
        <v>81</v>
      </c>
      <c r="F6" s="104" t="s">
        <v>79</v>
      </c>
      <c r="G6" s="104" t="s">
        <v>80</v>
      </c>
      <c r="H6" s="104" t="s">
        <v>81</v>
      </c>
      <c r="I6" s="104" t="s">
        <v>79</v>
      </c>
      <c r="J6" s="104" t="s">
        <v>80</v>
      </c>
      <c r="K6" s="104" t="s">
        <v>81</v>
      </c>
    </row>
    <row r="7" spans="1:13" x14ac:dyDescent="0.2">
      <c r="A7" s="104">
        <v>1</v>
      </c>
      <c r="B7" s="104">
        <v>2</v>
      </c>
      <c r="C7" s="104">
        <v>3</v>
      </c>
      <c r="D7" s="104">
        <v>4</v>
      </c>
      <c r="E7" s="104">
        <v>5</v>
      </c>
      <c r="F7" s="104">
        <v>6</v>
      </c>
      <c r="G7" s="104">
        <v>7</v>
      </c>
      <c r="H7" s="104">
        <v>8</v>
      </c>
      <c r="I7" s="104">
        <v>9</v>
      </c>
      <c r="J7" s="104">
        <v>10</v>
      </c>
      <c r="K7" s="104">
        <v>11</v>
      </c>
      <c r="L7" s="53" t="s">
        <v>434</v>
      </c>
      <c r="M7" s="53" t="s">
        <v>435</v>
      </c>
    </row>
    <row r="8" spans="1:13" x14ac:dyDescent="0.2">
      <c r="A8" s="129" t="s">
        <v>354</v>
      </c>
      <c r="B8" s="104">
        <v>1</v>
      </c>
      <c r="C8" s="113">
        <v>1</v>
      </c>
      <c r="D8" s="113">
        <v>1</v>
      </c>
      <c r="E8" s="113">
        <v>1</v>
      </c>
      <c r="F8" s="113">
        <v>12</v>
      </c>
      <c r="G8" s="113">
        <v>12</v>
      </c>
      <c r="H8" s="113">
        <v>12</v>
      </c>
      <c r="I8" s="153">
        <v>9484.4</v>
      </c>
      <c r="J8" s="153">
        <v>9484.4</v>
      </c>
      <c r="K8" s="153">
        <v>9484.4</v>
      </c>
      <c r="L8" s="54"/>
      <c r="M8" s="54">
        <f t="shared" ref="M8:M26" si="0">I8-L8</f>
        <v>9484.4</v>
      </c>
    </row>
    <row r="9" spans="1:13" ht="38.25" x14ac:dyDescent="0.2">
      <c r="A9" s="129" t="s">
        <v>355</v>
      </c>
      <c r="B9" s="104">
        <f t="shared" ref="B9:B26" si="1">B8+1</f>
        <v>2</v>
      </c>
      <c r="C9" s="113">
        <v>1</v>
      </c>
      <c r="D9" s="113">
        <v>1</v>
      </c>
      <c r="E9" s="113">
        <v>1</v>
      </c>
      <c r="F9" s="113">
        <v>12</v>
      </c>
      <c r="G9" s="113">
        <v>12</v>
      </c>
      <c r="H9" s="113">
        <v>12</v>
      </c>
      <c r="I9" s="153">
        <v>35136</v>
      </c>
      <c r="J9" s="153">
        <v>35136</v>
      </c>
      <c r="K9" s="153">
        <v>35136</v>
      </c>
      <c r="L9" s="54"/>
      <c r="M9" s="54">
        <f t="shared" si="0"/>
        <v>35136</v>
      </c>
    </row>
    <row r="10" spans="1:13" ht="38.25" x14ac:dyDescent="0.2">
      <c r="A10" s="129" t="s">
        <v>356</v>
      </c>
      <c r="B10" s="104">
        <f t="shared" si="1"/>
        <v>3</v>
      </c>
      <c r="C10" s="113">
        <v>1</v>
      </c>
      <c r="D10" s="113">
        <v>1</v>
      </c>
      <c r="E10" s="113">
        <v>1</v>
      </c>
      <c r="F10" s="113">
        <v>12</v>
      </c>
      <c r="G10" s="113">
        <v>12</v>
      </c>
      <c r="H10" s="113">
        <v>12</v>
      </c>
      <c r="I10" s="153">
        <v>4874.88</v>
      </c>
      <c r="J10" s="153">
        <v>4874.88</v>
      </c>
      <c r="K10" s="153">
        <v>4874.88</v>
      </c>
      <c r="L10" s="54"/>
      <c r="M10" s="54">
        <f t="shared" si="0"/>
        <v>4874.88</v>
      </c>
    </row>
    <row r="11" spans="1:13" ht="38.25" x14ac:dyDescent="0.2">
      <c r="A11" s="129" t="s">
        <v>357</v>
      </c>
      <c r="B11" s="104">
        <f t="shared" si="1"/>
        <v>4</v>
      </c>
      <c r="C11" s="113">
        <v>1</v>
      </c>
      <c r="D11" s="113">
        <v>1</v>
      </c>
      <c r="E11" s="113">
        <v>1</v>
      </c>
      <c r="F11" s="113">
        <v>12</v>
      </c>
      <c r="G11" s="113">
        <v>12</v>
      </c>
      <c r="H11" s="113">
        <v>12</v>
      </c>
      <c r="I11" s="153">
        <v>21689.759999999998</v>
      </c>
      <c r="J11" s="153">
        <v>21689.759999999998</v>
      </c>
      <c r="K11" s="153">
        <v>21689.759999999998</v>
      </c>
      <c r="L11" s="54"/>
      <c r="M11" s="54">
        <f t="shared" si="0"/>
        <v>21689.759999999998</v>
      </c>
    </row>
    <row r="12" spans="1:13" ht="25.5" x14ac:dyDescent="0.2">
      <c r="A12" s="129" t="s">
        <v>358</v>
      </c>
      <c r="B12" s="104">
        <f t="shared" si="1"/>
        <v>5</v>
      </c>
      <c r="C12" s="113">
        <v>1</v>
      </c>
      <c r="D12" s="113">
        <v>1</v>
      </c>
      <c r="E12" s="113">
        <v>1</v>
      </c>
      <c r="F12" s="113">
        <v>12</v>
      </c>
      <c r="G12" s="113">
        <v>12</v>
      </c>
      <c r="H12" s="113">
        <v>12</v>
      </c>
      <c r="I12" s="153">
        <v>27038.28</v>
      </c>
      <c r="J12" s="153">
        <v>27038.28</v>
      </c>
      <c r="K12" s="153">
        <v>27038.28</v>
      </c>
      <c r="L12" s="54"/>
      <c r="M12" s="54">
        <f t="shared" si="0"/>
        <v>27038.28</v>
      </c>
    </row>
    <row r="13" spans="1:13" ht="25.5" x14ac:dyDescent="0.2">
      <c r="A13" s="129" t="s">
        <v>493</v>
      </c>
      <c r="B13" s="104">
        <f t="shared" si="1"/>
        <v>6</v>
      </c>
      <c r="C13" s="113">
        <v>1</v>
      </c>
      <c r="D13" s="113">
        <v>1</v>
      </c>
      <c r="E13" s="113">
        <v>1</v>
      </c>
      <c r="F13" s="113">
        <v>11</v>
      </c>
      <c r="G13" s="113">
        <v>12</v>
      </c>
      <c r="H13" s="113">
        <v>12</v>
      </c>
      <c r="I13" s="153">
        <v>198434.76</v>
      </c>
      <c r="J13" s="153">
        <v>198434.76</v>
      </c>
      <c r="K13" s="153">
        <v>198434.76</v>
      </c>
      <c r="L13" s="54"/>
      <c r="M13" s="54">
        <f t="shared" si="0"/>
        <v>198434.76</v>
      </c>
    </row>
    <row r="14" spans="1:13" ht="38.25" x14ac:dyDescent="0.2">
      <c r="A14" s="129" t="s">
        <v>359</v>
      </c>
      <c r="B14" s="104">
        <f t="shared" si="1"/>
        <v>7</v>
      </c>
      <c r="C14" s="113">
        <v>1</v>
      </c>
      <c r="D14" s="113">
        <v>1</v>
      </c>
      <c r="E14" s="113">
        <v>1</v>
      </c>
      <c r="F14" s="113">
        <v>12</v>
      </c>
      <c r="G14" s="113">
        <v>12</v>
      </c>
      <c r="H14" s="113">
        <v>12</v>
      </c>
      <c r="I14" s="153">
        <v>36000</v>
      </c>
      <c r="J14" s="153">
        <v>36000</v>
      </c>
      <c r="K14" s="153">
        <v>36000</v>
      </c>
      <c r="L14" s="54"/>
      <c r="M14" s="54">
        <f t="shared" si="0"/>
        <v>36000</v>
      </c>
    </row>
    <row r="15" spans="1:13" ht="25.5" x14ac:dyDescent="0.2">
      <c r="A15" s="129" t="s">
        <v>360</v>
      </c>
      <c r="B15" s="104">
        <f t="shared" si="1"/>
        <v>8</v>
      </c>
      <c r="C15" s="113">
        <v>1</v>
      </c>
      <c r="D15" s="113">
        <v>1</v>
      </c>
      <c r="E15" s="113">
        <v>1</v>
      </c>
      <c r="F15" s="113">
        <v>12</v>
      </c>
      <c r="G15" s="113">
        <v>12</v>
      </c>
      <c r="H15" s="113">
        <v>12</v>
      </c>
      <c r="I15" s="153">
        <v>31200</v>
      </c>
      <c r="J15" s="153">
        <v>31200</v>
      </c>
      <c r="K15" s="153">
        <v>31200</v>
      </c>
      <c r="L15" s="54"/>
      <c r="M15" s="54">
        <f t="shared" si="0"/>
        <v>31200</v>
      </c>
    </row>
    <row r="16" spans="1:13" x14ac:dyDescent="0.2">
      <c r="A16" s="129" t="s">
        <v>361</v>
      </c>
      <c r="B16" s="104">
        <f t="shared" si="1"/>
        <v>9</v>
      </c>
      <c r="C16" s="113">
        <v>1</v>
      </c>
      <c r="D16" s="113">
        <v>1</v>
      </c>
      <c r="E16" s="113">
        <v>1</v>
      </c>
      <c r="F16" s="113">
        <v>1</v>
      </c>
      <c r="G16" s="113">
        <v>1</v>
      </c>
      <c r="H16" s="113">
        <v>1</v>
      </c>
      <c r="I16" s="153">
        <v>10000</v>
      </c>
      <c r="J16" s="153">
        <v>10000</v>
      </c>
      <c r="K16" s="153">
        <v>10000</v>
      </c>
      <c r="L16" s="54"/>
      <c r="M16" s="54">
        <f t="shared" si="0"/>
        <v>10000</v>
      </c>
    </row>
    <row r="17" spans="1:13" ht="25.5" x14ac:dyDescent="0.2">
      <c r="A17" s="129" t="s">
        <v>362</v>
      </c>
      <c r="B17" s="104">
        <f t="shared" si="1"/>
        <v>10</v>
      </c>
      <c r="C17" s="113">
        <v>1</v>
      </c>
      <c r="D17" s="113">
        <v>1</v>
      </c>
      <c r="E17" s="113">
        <v>1</v>
      </c>
      <c r="F17" s="113">
        <v>1</v>
      </c>
      <c r="G17" s="113">
        <v>1</v>
      </c>
      <c r="H17" s="113">
        <v>1</v>
      </c>
      <c r="I17" s="153">
        <v>8000</v>
      </c>
      <c r="J17" s="153">
        <v>8000</v>
      </c>
      <c r="K17" s="153">
        <v>8000</v>
      </c>
      <c r="L17" s="54"/>
      <c r="M17" s="54">
        <f t="shared" si="0"/>
        <v>8000</v>
      </c>
    </row>
    <row r="18" spans="1:13" x14ac:dyDescent="0.2">
      <c r="A18" s="129" t="s">
        <v>363</v>
      </c>
      <c r="B18" s="104">
        <f t="shared" si="1"/>
        <v>11</v>
      </c>
      <c r="C18" s="113">
        <v>1</v>
      </c>
      <c r="D18" s="113">
        <v>1</v>
      </c>
      <c r="E18" s="113">
        <v>1</v>
      </c>
      <c r="F18" s="113">
        <v>1</v>
      </c>
      <c r="G18" s="113">
        <v>1</v>
      </c>
      <c r="H18" s="113">
        <v>1</v>
      </c>
      <c r="I18" s="153">
        <v>20000</v>
      </c>
      <c r="J18" s="153">
        <v>20000</v>
      </c>
      <c r="K18" s="153">
        <v>20000</v>
      </c>
      <c r="L18" s="54"/>
      <c r="M18" s="54">
        <f t="shared" si="0"/>
        <v>20000</v>
      </c>
    </row>
    <row r="19" spans="1:13" ht="46.5" customHeight="1" x14ac:dyDescent="0.2">
      <c r="A19" s="159" t="s">
        <v>364</v>
      </c>
      <c r="B19" s="104">
        <f t="shared" si="1"/>
        <v>12</v>
      </c>
      <c r="C19" s="113">
        <v>1</v>
      </c>
      <c r="D19" s="113">
        <v>1</v>
      </c>
      <c r="E19" s="113">
        <v>1</v>
      </c>
      <c r="F19" s="113">
        <v>1</v>
      </c>
      <c r="G19" s="113">
        <v>1</v>
      </c>
      <c r="H19" s="113">
        <v>1</v>
      </c>
      <c r="I19" s="153">
        <v>10000</v>
      </c>
      <c r="J19" s="153">
        <v>10000</v>
      </c>
      <c r="K19" s="153">
        <v>10000</v>
      </c>
      <c r="L19" s="54"/>
      <c r="M19" s="54">
        <f t="shared" si="0"/>
        <v>10000</v>
      </c>
    </row>
    <row r="20" spans="1:13" x14ac:dyDescent="0.2">
      <c r="A20" s="129" t="s">
        <v>515</v>
      </c>
      <c r="B20" s="104">
        <f t="shared" si="1"/>
        <v>13</v>
      </c>
      <c r="C20" s="113">
        <v>1</v>
      </c>
      <c r="D20" s="113">
        <v>1</v>
      </c>
      <c r="E20" s="113">
        <v>1</v>
      </c>
      <c r="F20" s="113">
        <v>1</v>
      </c>
      <c r="G20" s="113">
        <v>1</v>
      </c>
      <c r="H20" s="113">
        <v>1</v>
      </c>
      <c r="I20" s="153">
        <v>8000</v>
      </c>
      <c r="J20" s="153">
        <v>8000</v>
      </c>
      <c r="K20" s="153">
        <v>8000</v>
      </c>
      <c r="L20" s="54"/>
      <c r="M20" s="54">
        <f t="shared" si="0"/>
        <v>8000</v>
      </c>
    </row>
    <row r="21" spans="1:13" ht="25.5" x14ac:dyDescent="0.2">
      <c r="A21" s="129" t="s">
        <v>365</v>
      </c>
      <c r="B21" s="104">
        <f t="shared" si="1"/>
        <v>14</v>
      </c>
      <c r="C21" s="113">
        <v>1</v>
      </c>
      <c r="D21" s="113">
        <v>1</v>
      </c>
      <c r="E21" s="113">
        <v>1</v>
      </c>
      <c r="F21" s="113">
        <v>2</v>
      </c>
      <c r="G21" s="113">
        <v>2</v>
      </c>
      <c r="H21" s="113">
        <v>2</v>
      </c>
      <c r="I21" s="153">
        <v>36935.599999999999</v>
      </c>
      <c r="J21" s="153">
        <v>36935.599999999999</v>
      </c>
      <c r="K21" s="153">
        <v>36935.599999999999</v>
      </c>
      <c r="L21" s="54"/>
      <c r="M21" s="54">
        <f t="shared" si="0"/>
        <v>36935.599999999999</v>
      </c>
    </row>
    <row r="22" spans="1:13" ht="25.5" x14ac:dyDescent="0.2">
      <c r="A22" s="129" t="s">
        <v>366</v>
      </c>
      <c r="B22" s="104">
        <f t="shared" si="1"/>
        <v>15</v>
      </c>
      <c r="C22" s="113">
        <v>1</v>
      </c>
      <c r="D22" s="113">
        <v>1</v>
      </c>
      <c r="E22" s="113">
        <v>1</v>
      </c>
      <c r="F22" s="113">
        <v>1</v>
      </c>
      <c r="G22" s="113">
        <v>1</v>
      </c>
      <c r="H22" s="113">
        <v>1</v>
      </c>
      <c r="I22" s="153">
        <v>2000</v>
      </c>
      <c r="J22" s="153">
        <v>2000</v>
      </c>
      <c r="K22" s="153">
        <v>2000</v>
      </c>
      <c r="L22" s="54"/>
      <c r="M22" s="54">
        <f t="shared" si="0"/>
        <v>2000</v>
      </c>
    </row>
    <row r="23" spans="1:13" ht="25.5" x14ac:dyDescent="0.2">
      <c r="A23" s="129" t="s">
        <v>367</v>
      </c>
      <c r="B23" s="104">
        <f t="shared" si="1"/>
        <v>16</v>
      </c>
      <c r="C23" s="113">
        <v>1</v>
      </c>
      <c r="D23" s="113">
        <v>1</v>
      </c>
      <c r="E23" s="113">
        <v>1</v>
      </c>
      <c r="F23" s="113">
        <v>1</v>
      </c>
      <c r="G23" s="113">
        <v>1</v>
      </c>
      <c r="H23" s="113">
        <v>1</v>
      </c>
      <c r="I23" s="153">
        <v>10000</v>
      </c>
      <c r="J23" s="153">
        <v>10000</v>
      </c>
      <c r="K23" s="153">
        <v>10000</v>
      </c>
      <c r="L23" s="54"/>
      <c r="M23" s="54">
        <f t="shared" si="0"/>
        <v>10000</v>
      </c>
    </row>
    <row r="24" spans="1:13" ht="25.5" x14ac:dyDescent="0.2">
      <c r="A24" s="129" t="s">
        <v>368</v>
      </c>
      <c r="B24" s="104">
        <f t="shared" si="1"/>
        <v>17</v>
      </c>
      <c r="C24" s="113">
        <v>1</v>
      </c>
      <c r="D24" s="113">
        <v>1</v>
      </c>
      <c r="E24" s="113">
        <v>1</v>
      </c>
      <c r="F24" s="113">
        <v>1</v>
      </c>
      <c r="G24" s="113">
        <v>1</v>
      </c>
      <c r="H24" s="113">
        <v>1</v>
      </c>
      <c r="I24" s="153">
        <v>10000</v>
      </c>
      <c r="J24" s="153">
        <v>10000</v>
      </c>
      <c r="K24" s="153">
        <v>10000</v>
      </c>
      <c r="L24" s="54"/>
      <c r="M24" s="54">
        <f t="shared" si="0"/>
        <v>10000</v>
      </c>
    </row>
    <row r="25" spans="1:13" ht="38.25" x14ac:dyDescent="0.2">
      <c r="A25" s="129" t="s">
        <v>369</v>
      </c>
      <c r="B25" s="104">
        <f t="shared" si="1"/>
        <v>18</v>
      </c>
      <c r="C25" s="113">
        <v>1</v>
      </c>
      <c r="D25" s="113">
        <v>1</v>
      </c>
      <c r="E25" s="113">
        <v>1</v>
      </c>
      <c r="F25" s="113">
        <v>1</v>
      </c>
      <c r="G25" s="113">
        <v>1</v>
      </c>
      <c r="H25" s="113">
        <v>1</v>
      </c>
      <c r="I25" s="153">
        <v>9000</v>
      </c>
      <c r="J25" s="153">
        <v>9000</v>
      </c>
      <c r="K25" s="153">
        <v>9000</v>
      </c>
      <c r="L25" s="54"/>
      <c r="M25" s="54">
        <f t="shared" si="0"/>
        <v>9000</v>
      </c>
    </row>
    <row r="26" spans="1:13" ht="25.5" x14ac:dyDescent="0.2">
      <c r="A26" s="129" t="s">
        <v>370</v>
      </c>
      <c r="B26" s="104">
        <f t="shared" si="1"/>
        <v>19</v>
      </c>
      <c r="C26" s="113">
        <v>1</v>
      </c>
      <c r="D26" s="113">
        <v>1</v>
      </c>
      <c r="E26" s="113">
        <v>1</v>
      </c>
      <c r="F26" s="113">
        <v>1</v>
      </c>
      <c r="G26" s="113">
        <v>1</v>
      </c>
      <c r="H26" s="113">
        <v>1</v>
      </c>
      <c r="I26" s="153">
        <v>3400</v>
      </c>
      <c r="J26" s="153">
        <v>3400</v>
      </c>
      <c r="K26" s="153">
        <v>3400</v>
      </c>
      <c r="L26" s="54"/>
      <c r="M26" s="54">
        <f t="shared" si="0"/>
        <v>3400</v>
      </c>
    </row>
    <row r="27" spans="1:13" x14ac:dyDescent="0.2">
      <c r="A27" s="31" t="s">
        <v>136</v>
      </c>
      <c r="B27" s="104">
        <v>9000</v>
      </c>
      <c r="C27" s="104" t="s">
        <v>12</v>
      </c>
      <c r="D27" s="104" t="s">
        <v>12</v>
      </c>
      <c r="E27" s="104" t="s">
        <v>12</v>
      </c>
      <c r="F27" s="104" t="s">
        <v>12</v>
      </c>
      <c r="G27" s="104" t="s">
        <v>12</v>
      </c>
      <c r="H27" s="104" t="s">
        <v>12</v>
      </c>
      <c r="I27" s="32">
        <f>SUM(I8:I26)</f>
        <v>491193.68</v>
      </c>
      <c r="J27" s="32">
        <f>SUM(J8:J26)</f>
        <v>491193.68</v>
      </c>
      <c r="K27" s="32">
        <f>SUM(K8:K26)</f>
        <v>491193.68</v>
      </c>
      <c r="L27" s="55">
        <f>SUM(L8:L26)</f>
        <v>0</v>
      </c>
      <c r="M27" s="55">
        <f>SUM(M8:M26)</f>
        <v>491193.68</v>
      </c>
    </row>
    <row r="28" spans="1:13" x14ac:dyDescent="0.2">
      <c r="L28" s="128"/>
      <c r="M28" s="128"/>
    </row>
    <row r="29" spans="1:13" x14ac:dyDescent="0.2">
      <c r="A29" s="30" t="str">
        <f>'3.13.1'!I9</f>
        <v>0701 0210075880 621</v>
      </c>
      <c r="L29" s="128"/>
      <c r="M29" s="128"/>
    </row>
    <row r="30" spans="1:13" x14ac:dyDescent="0.2">
      <c r="A30" s="237" t="s">
        <v>221</v>
      </c>
      <c r="B30" s="237" t="s">
        <v>1</v>
      </c>
      <c r="C30" s="237" t="s">
        <v>271</v>
      </c>
      <c r="D30" s="237"/>
      <c r="E30" s="237"/>
      <c r="F30" s="237" t="s">
        <v>272</v>
      </c>
      <c r="G30" s="237"/>
      <c r="H30" s="237"/>
      <c r="I30" s="237" t="s">
        <v>116</v>
      </c>
      <c r="J30" s="237"/>
      <c r="K30" s="237"/>
      <c r="L30" s="128"/>
      <c r="M30" s="128"/>
    </row>
    <row r="31" spans="1:13" x14ac:dyDescent="0.2">
      <c r="A31" s="237"/>
      <c r="B31" s="237"/>
      <c r="C31" s="104" t="s">
        <v>353</v>
      </c>
      <c r="D31" s="104" t="s">
        <v>455</v>
      </c>
      <c r="E31" s="104" t="s">
        <v>508</v>
      </c>
      <c r="F31" s="104" t="s">
        <v>353</v>
      </c>
      <c r="G31" s="104" t="s">
        <v>455</v>
      </c>
      <c r="H31" s="104" t="s">
        <v>508</v>
      </c>
      <c r="I31" s="104" t="s">
        <v>353</v>
      </c>
      <c r="J31" s="104" t="s">
        <v>455</v>
      </c>
      <c r="K31" s="104" t="s">
        <v>508</v>
      </c>
      <c r="L31" s="128"/>
      <c r="M31" s="128"/>
    </row>
    <row r="32" spans="1:13" ht="38.25" x14ac:dyDescent="0.2">
      <c r="A32" s="237"/>
      <c r="B32" s="237"/>
      <c r="C32" s="104"/>
      <c r="D32" s="104" t="s">
        <v>80</v>
      </c>
      <c r="E32" s="104" t="s">
        <v>81</v>
      </c>
      <c r="F32" s="104" t="s">
        <v>79</v>
      </c>
      <c r="G32" s="104" t="s">
        <v>80</v>
      </c>
      <c r="H32" s="104" t="s">
        <v>81</v>
      </c>
      <c r="I32" s="104" t="s">
        <v>79</v>
      </c>
      <c r="J32" s="104" t="s">
        <v>80</v>
      </c>
      <c r="K32" s="104" t="s">
        <v>81</v>
      </c>
      <c r="L32" s="128"/>
      <c r="M32" s="128"/>
    </row>
    <row r="33" spans="1:13" x14ac:dyDescent="0.2">
      <c r="A33" s="104">
        <v>1</v>
      </c>
      <c r="B33" s="104">
        <v>2</v>
      </c>
      <c r="C33" s="104">
        <v>3</v>
      </c>
      <c r="D33" s="104">
        <v>4</v>
      </c>
      <c r="E33" s="104">
        <v>5</v>
      </c>
      <c r="F33" s="104">
        <v>6</v>
      </c>
      <c r="G33" s="104">
        <v>7</v>
      </c>
      <c r="H33" s="104">
        <v>8</v>
      </c>
      <c r="I33" s="104">
        <v>9</v>
      </c>
      <c r="J33" s="104">
        <v>10</v>
      </c>
      <c r="K33" s="104">
        <v>11</v>
      </c>
      <c r="L33" s="53" t="s">
        <v>434</v>
      </c>
      <c r="M33" s="53" t="s">
        <v>435</v>
      </c>
    </row>
    <row r="34" spans="1:13" x14ac:dyDescent="0.2">
      <c r="A34" s="129" t="s">
        <v>377</v>
      </c>
      <c r="B34" s="104">
        <v>1</v>
      </c>
      <c r="C34" s="113">
        <v>1</v>
      </c>
      <c r="D34" s="113">
        <v>1</v>
      </c>
      <c r="E34" s="113">
        <v>1</v>
      </c>
      <c r="F34" s="160">
        <v>1</v>
      </c>
      <c r="G34" s="160">
        <v>1</v>
      </c>
      <c r="H34" s="160">
        <v>1</v>
      </c>
      <c r="I34" s="153">
        <v>5000</v>
      </c>
      <c r="J34" s="153">
        <v>5000</v>
      </c>
      <c r="K34" s="153">
        <v>5000</v>
      </c>
      <c r="L34" s="54"/>
      <c r="M34" s="54">
        <f>I34-L34</f>
        <v>5000</v>
      </c>
    </row>
    <row r="35" spans="1:13" ht="38.25" x14ac:dyDescent="0.2">
      <c r="A35" s="161" t="s">
        <v>378</v>
      </c>
      <c r="B35" s="104">
        <f>B34+1</f>
        <v>2</v>
      </c>
      <c r="C35" s="113">
        <v>1</v>
      </c>
      <c r="D35" s="113">
        <v>1</v>
      </c>
      <c r="E35" s="113">
        <v>1</v>
      </c>
      <c r="F35" s="113">
        <v>3</v>
      </c>
      <c r="G35" s="113">
        <v>3</v>
      </c>
      <c r="H35" s="113">
        <v>3</v>
      </c>
      <c r="I35" s="153">
        <v>17000</v>
      </c>
      <c r="J35" s="153">
        <v>17000</v>
      </c>
      <c r="K35" s="153">
        <v>17000</v>
      </c>
      <c r="L35" s="54"/>
      <c r="M35" s="54">
        <f>I35-L35</f>
        <v>17000</v>
      </c>
    </row>
    <row r="36" spans="1:13" x14ac:dyDescent="0.2">
      <c r="A36" s="31" t="s">
        <v>136</v>
      </c>
      <c r="B36" s="104">
        <v>9000</v>
      </c>
      <c r="C36" s="104" t="s">
        <v>12</v>
      </c>
      <c r="D36" s="104" t="s">
        <v>12</v>
      </c>
      <c r="E36" s="104" t="s">
        <v>12</v>
      </c>
      <c r="F36" s="104" t="s">
        <v>12</v>
      </c>
      <c r="G36" s="104" t="s">
        <v>12</v>
      </c>
      <c r="H36" s="104" t="s">
        <v>12</v>
      </c>
      <c r="I36" s="32">
        <f>SUM(I34:I35)</f>
        <v>22000</v>
      </c>
      <c r="J36" s="32">
        <f>SUM(J34:J35)</f>
        <v>22000</v>
      </c>
      <c r="K36" s="32">
        <f>SUM(K34:K35)</f>
        <v>22000</v>
      </c>
      <c r="L36" s="55">
        <f>SUM(L34:L35)</f>
        <v>0</v>
      </c>
      <c r="M36" s="55">
        <f>SUM(M34:M35)</f>
        <v>22000</v>
      </c>
    </row>
    <row r="37" spans="1:13" x14ac:dyDescent="0.2">
      <c r="L37" s="128"/>
      <c r="M37" s="128"/>
    </row>
    <row r="38" spans="1:13" x14ac:dyDescent="0.2">
      <c r="A38" s="30" t="str">
        <f>'3.13.1'!J9</f>
        <v>0701 0210074080 621</v>
      </c>
      <c r="L38" s="128"/>
      <c r="M38" s="128"/>
    </row>
    <row r="39" spans="1:13" x14ac:dyDescent="0.2">
      <c r="A39" s="237" t="s">
        <v>221</v>
      </c>
      <c r="B39" s="237" t="s">
        <v>1</v>
      </c>
      <c r="C39" s="237" t="s">
        <v>271</v>
      </c>
      <c r="D39" s="237"/>
      <c r="E39" s="237"/>
      <c r="F39" s="237" t="s">
        <v>272</v>
      </c>
      <c r="G39" s="237"/>
      <c r="H39" s="237"/>
      <c r="I39" s="237" t="s">
        <v>116</v>
      </c>
      <c r="J39" s="237"/>
      <c r="K39" s="237"/>
      <c r="L39" s="128"/>
      <c r="M39" s="128"/>
    </row>
    <row r="40" spans="1:13" x14ac:dyDescent="0.2">
      <c r="A40" s="237"/>
      <c r="B40" s="237"/>
      <c r="C40" s="104" t="s">
        <v>353</v>
      </c>
      <c r="D40" s="104" t="s">
        <v>455</v>
      </c>
      <c r="E40" s="104" t="s">
        <v>508</v>
      </c>
      <c r="F40" s="104" t="s">
        <v>353</v>
      </c>
      <c r="G40" s="104" t="s">
        <v>455</v>
      </c>
      <c r="H40" s="104" t="s">
        <v>508</v>
      </c>
      <c r="I40" s="104" t="s">
        <v>353</v>
      </c>
      <c r="J40" s="104" t="s">
        <v>455</v>
      </c>
      <c r="K40" s="104" t="s">
        <v>508</v>
      </c>
      <c r="L40" s="128"/>
      <c r="M40" s="128"/>
    </row>
    <row r="41" spans="1:13" ht="38.25" x14ac:dyDescent="0.2">
      <c r="A41" s="237"/>
      <c r="B41" s="237"/>
      <c r="C41" s="104" t="s">
        <v>79</v>
      </c>
      <c r="D41" s="104" t="s">
        <v>80</v>
      </c>
      <c r="E41" s="104" t="s">
        <v>81</v>
      </c>
      <c r="F41" s="104" t="s">
        <v>79</v>
      </c>
      <c r="G41" s="104" t="s">
        <v>80</v>
      </c>
      <c r="H41" s="104" t="s">
        <v>81</v>
      </c>
      <c r="I41" s="104" t="s">
        <v>79</v>
      </c>
      <c r="J41" s="104" t="s">
        <v>80</v>
      </c>
      <c r="K41" s="104" t="s">
        <v>81</v>
      </c>
      <c r="L41" s="128"/>
      <c r="M41" s="128"/>
    </row>
    <row r="42" spans="1:13" x14ac:dyDescent="0.2">
      <c r="A42" s="104">
        <v>1</v>
      </c>
      <c r="B42" s="104">
        <v>2</v>
      </c>
      <c r="C42" s="104">
        <v>3</v>
      </c>
      <c r="D42" s="104">
        <v>4</v>
      </c>
      <c r="E42" s="104">
        <v>5</v>
      </c>
      <c r="F42" s="104">
        <v>6</v>
      </c>
      <c r="G42" s="104">
        <v>7</v>
      </c>
      <c r="H42" s="104">
        <v>8</v>
      </c>
      <c r="I42" s="104">
        <v>9</v>
      </c>
      <c r="J42" s="104">
        <v>10</v>
      </c>
      <c r="K42" s="104">
        <v>11</v>
      </c>
      <c r="L42" s="53" t="s">
        <v>434</v>
      </c>
      <c r="M42" s="53" t="s">
        <v>435</v>
      </c>
    </row>
    <row r="43" spans="1:13" ht="25.5" x14ac:dyDescent="0.2">
      <c r="A43" s="161" t="s">
        <v>374</v>
      </c>
      <c r="B43" s="104">
        <v>1</v>
      </c>
      <c r="C43" s="104">
        <v>1</v>
      </c>
      <c r="D43" s="104">
        <v>1</v>
      </c>
      <c r="E43" s="104">
        <v>1</v>
      </c>
      <c r="F43" s="104">
        <v>1</v>
      </c>
      <c r="G43" s="104">
        <v>1</v>
      </c>
      <c r="H43" s="104">
        <v>1</v>
      </c>
      <c r="I43" s="103">
        <v>6000</v>
      </c>
      <c r="J43" s="103">
        <v>6000</v>
      </c>
      <c r="K43" s="103">
        <v>6000</v>
      </c>
      <c r="L43" s="54"/>
      <c r="M43" s="123">
        <f>I43-L43</f>
        <v>6000</v>
      </c>
    </row>
    <row r="44" spans="1:13" x14ac:dyDescent="0.2">
      <c r="A44" s="31" t="s">
        <v>136</v>
      </c>
      <c r="B44" s="104">
        <v>9000</v>
      </c>
      <c r="C44" s="104" t="s">
        <v>12</v>
      </c>
      <c r="D44" s="104" t="s">
        <v>12</v>
      </c>
      <c r="E44" s="104" t="s">
        <v>12</v>
      </c>
      <c r="F44" s="104" t="s">
        <v>12</v>
      </c>
      <c r="G44" s="104" t="s">
        <v>12</v>
      </c>
      <c r="H44" s="104" t="s">
        <v>12</v>
      </c>
      <c r="I44" s="32">
        <f>SUM(I43:I43)</f>
        <v>6000</v>
      </c>
      <c r="J44" s="32">
        <f>SUM(J43:J43)</f>
        <v>6000</v>
      </c>
      <c r="K44" s="32">
        <f>SUM(K43:K43)</f>
        <v>6000</v>
      </c>
      <c r="L44" s="55">
        <f>SUM(L43)</f>
        <v>0</v>
      </c>
      <c r="M44" s="55">
        <f>SUM(M43)</f>
        <v>6000</v>
      </c>
    </row>
    <row r="45" spans="1:13" x14ac:dyDescent="0.2">
      <c r="L45" s="128"/>
      <c r="M45" s="128"/>
    </row>
    <row r="46" spans="1:13" x14ac:dyDescent="0.2">
      <c r="A46" s="95" t="str">
        <f>'3.13.1'!M9</f>
        <v>0701 4200099000 853</v>
      </c>
      <c r="L46" s="128"/>
      <c r="M46" s="128"/>
    </row>
    <row r="47" spans="1:13" x14ac:dyDescent="0.2">
      <c r="A47" s="237" t="s">
        <v>221</v>
      </c>
      <c r="B47" s="237" t="s">
        <v>1</v>
      </c>
      <c r="C47" s="237" t="s">
        <v>271</v>
      </c>
      <c r="D47" s="237"/>
      <c r="E47" s="237"/>
      <c r="F47" s="237" t="s">
        <v>272</v>
      </c>
      <c r="G47" s="237"/>
      <c r="H47" s="237"/>
      <c r="I47" s="237" t="s">
        <v>116</v>
      </c>
      <c r="J47" s="237"/>
      <c r="K47" s="237"/>
      <c r="L47" s="128"/>
      <c r="M47" s="128"/>
    </row>
    <row r="48" spans="1:13" x14ac:dyDescent="0.2">
      <c r="A48" s="237"/>
      <c r="B48" s="237"/>
      <c r="C48" s="104" t="s">
        <v>353</v>
      </c>
      <c r="D48" s="104" t="s">
        <v>455</v>
      </c>
      <c r="E48" s="104" t="s">
        <v>508</v>
      </c>
      <c r="F48" s="104" t="s">
        <v>353</v>
      </c>
      <c r="G48" s="104" t="s">
        <v>455</v>
      </c>
      <c r="H48" s="104" t="s">
        <v>508</v>
      </c>
      <c r="I48" s="104" t="s">
        <v>353</v>
      </c>
      <c r="J48" s="104" t="s">
        <v>455</v>
      </c>
      <c r="K48" s="104" t="s">
        <v>508</v>
      </c>
      <c r="L48" s="128"/>
      <c r="M48" s="128"/>
    </row>
    <row r="49" spans="1:13" ht="38.25" x14ac:dyDescent="0.2">
      <c r="A49" s="237"/>
      <c r="B49" s="237"/>
      <c r="C49" s="104" t="s">
        <v>79</v>
      </c>
      <c r="D49" s="104" t="s">
        <v>80</v>
      </c>
      <c r="E49" s="104" t="s">
        <v>81</v>
      </c>
      <c r="F49" s="104" t="s">
        <v>79</v>
      </c>
      <c r="G49" s="104" t="s">
        <v>80</v>
      </c>
      <c r="H49" s="104" t="s">
        <v>81</v>
      </c>
      <c r="I49" s="104" t="s">
        <v>79</v>
      </c>
      <c r="J49" s="104" t="s">
        <v>80</v>
      </c>
      <c r="K49" s="104" t="s">
        <v>81</v>
      </c>
      <c r="L49" s="128"/>
      <c r="M49" s="128"/>
    </row>
    <row r="50" spans="1:13" x14ac:dyDescent="0.2">
      <c r="A50" s="104">
        <v>1</v>
      </c>
      <c r="B50" s="104">
        <v>2</v>
      </c>
      <c r="C50" s="104">
        <v>3</v>
      </c>
      <c r="D50" s="104">
        <v>4</v>
      </c>
      <c r="E50" s="104">
        <v>5</v>
      </c>
      <c r="F50" s="104">
        <v>6</v>
      </c>
      <c r="G50" s="104">
        <v>7</v>
      </c>
      <c r="H50" s="104">
        <v>8</v>
      </c>
      <c r="I50" s="104">
        <v>9</v>
      </c>
      <c r="J50" s="104">
        <v>10</v>
      </c>
      <c r="K50" s="104">
        <v>11</v>
      </c>
      <c r="L50" s="53" t="s">
        <v>434</v>
      </c>
      <c r="M50" s="53" t="s">
        <v>435</v>
      </c>
    </row>
    <row r="51" spans="1:13" ht="25.5" x14ac:dyDescent="0.2">
      <c r="A51" s="149" t="s">
        <v>516</v>
      </c>
      <c r="B51" s="104">
        <v>1</v>
      </c>
      <c r="C51" s="104">
        <v>1</v>
      </c>
      <c r="D51" s="104">
        <v>0</v>
      </c>
      <c r="E51" s="104">
        <v>0</v>
      </c>
      <c r="F51" s="104">
        <v>1</v>
      </c>
      <c r="G51" s="104">
        <v>0</v>
      </c>
      <c r="H51" s="104">
        <v>0</v>
      </c>
      <c r="I51" s="33">
        <v>50000</v>
      </c>
      <c r="J51" s="33">
        <v>0</v>
      </c>
      <c r="K51" s="33">
        <v>0</v>
      </c>
      <c r="L51" s="54"/>
      <c r="M51" s="54">
        <f>I51-L51</f>
        <v>50000</v>
      </c>
    </row>
    <row r="52" spans="1:13" x14ac:dyDescent="0.2">
      <c r="A52" s="149" t="s">
        <v>517</v>
      </c>
      <c r="B52" s="104">
        <f>B51+1</f>
        <v>2</v>
      </c>
      <c r="C52" s="104">
        <v>1</v>
      </c>
      <c r="D52" s="104">
        <v>0</v>
      </c>
      <c r="E52" s="104">
        <v>0</v>
      </c>
      <c r="F52" s="104">
        <v>1</v>
      </c>
      <c r="G52" s="104">
        <v>0</v>
      </c>
      <c r="H52" s="104">
        <v>0</v>
      </c>
      <c r="I52" s="33">
        <v>60484.5</v>
      </c>
      <c r="J52" s="33">
        <v>0</v>
      </c>
      <c r="K52" s="33">
        <v>0</v>
      </c>
      <c r="L52" s="54"/>
      <c r="M52" s="54">
        <f>I52-L52</f>
        <v>60484.5</v>
      </c>
    </row>
    <row r="53" spans="1:13" x14ac:dyDescent="0.2">
      <c r="A53" s="149" t="s">
        <v>533</v>
      </c>
      <c r="B53" s="104">
        <f>B52+1</f>
        <v>3</v>
      </c>
      <c r="C53" s="104">
        <v>0</v>
      </c>
      <c r="D53" s="104">
        <v>1</v>
      </c>
      <c r="E53" s="104">
        <v>0</v>
      </c>
      <c r="F53" s="104">
        <v>0</v>
      </c>
      <c r="G53" s="104">
        <v>1</v>
      </c>
      <c r="H53" s="104">
        <v>0</v>
      </c>
      <c r="I53" s="33">
        <v>0</v>
      </c>
      <c r="J53" s="33">
        <f>825839.06-599798.06</f>
        <v>226041</v>
      </c>
      <c r="K53" s="33">
        <v>0</v>
      </c>
      <c r="L53" s="54"/>
      <c r="M53" s="54">
        <f>I53-L53</f>
        <v>0</v>
      </c>
    </row>
    <row r="54" spans="1:13" ht="25.5" x14ac:dyDescent="0.2">
      <c r="A54" s="161" t="s">
        <v>534</v>
      </c>
      <c r="B54" s="104">
        <f>B53+1</f>
        <v>4</v>
      </c>
      <c r="C54" s="104">
        <v>0</v>
      </c>
      <c r="D54" s="104">
        <v>1</v>
      </c>
      <c r="E54" s="104">
        <v>0</v>
      </c>
      <c r="F54" s="104">
        <v>0</v>
      </c>
      <c r="G54" s="104">
        <v>1</v>
      </c>
      <c r="H54" s="104">
        <v>0</v>
      </c>
      <c r="I54" s="103">
        <v>0</v>
      </c>
      <c r="J54" s="103">
        <v>500000</v>
      </c>
      <c r="K54" s="103">
        <v>0</v>
      </c>
      <c r="L54" s="54"/>
      <c r="M54" s="54">
        <f>I54-L54</f>
        <v>0</v>
      </c>
    </row>
    <row r="55" spans="1:13" x14ac:dyDescent="0.2">
      <c r="A55" s="31" t="s">
        <v>136</v>
      </c>
      <c r="B55" s="104">
        <v>9000</v>
      </c>
      <c r="C55" s="104" t="s">
        <v>12</v>
      </c>
      <c r="D55" s="104" t="s">
        <v>12</v>
      </c>
      <c r="E55" s="104" t="s">
        <v>12</v>
      </c>
      <c r="F55" s="104" t="s">
        <v>12</v>
      </c>
      <c r="G55" s="104" t="s">
        <v>12</v>
      </c>
      <c r="H55" s="104" t="s">
        <v>12</v>
      </c>
      <c r="I55" s="32">
        <f>SUM(I51:I54)</f>
        <v>110484.5</v>
      </c>
      <c r="J55" s="32">
        <f>SUM(J51:J54)</f>
        <v>726041</v>
      </c>
      <c r="K55" s="32">
        <f>SUM(K51:K54)</f>
        <v>0</v>
      </c>
      <c r="L55" s="55">
        <f>SUM(L51:L54)</f>
        <v>0</v>
      </c>
      <c r="M55" s="55">
        <f>SUM(M51:M54)</f>
        <v>110484.5</v>
      </c>
    </row>
    <row r="56" spans="1:13" x14ac:dyDescent="0.2">
      <c r="L56" s="56">
        <f>L55+L44+L36+L27</f>
        <v>0</v>
      </c>
      <c r="M56" s="56">
        <f>M55+M44+M36+M27</f>
        <v>629678.17999999993</v>
      </c>
    </row>
  </sheetData>
  <mergeCells count="20">
    <mergeCell ref="A47:A49"/>
    <mergeCell ref="B47:B49"/>
    <mergeCell ref="C47:E47"/>
    <mergeCell ref="F47:H47"/>
    <mergeCell ref="I47:K47"/>
    <mergeCell ref="A4:A6"/>
    <mergeCell ref="B4:B6"/>
    <mergeCell ref="C4:E4"/>
    <mergeCell ref="F4:H4"/>
    <mergeCell ref="I4:K4"/>
    <mergeCell ref="A30:A32"/>
    <mergeCell ref="B30:B32"/>
    <mergeCell ref="C30:E30"/>
    <mergeCell ref="F30:H30"/>
    <mergeCell ref="I30:K30"/>
    <mergeCell ref="A39:A41"/>
    <mergeCell ref="B39:B41"/>
    <mergeCell ref="C39:E39"/>
    <mergeCell ref="F39:H39"/>
    <mergeCell ref="I39:K39"/>
  </mergeCells>
  <pageMargins left="0.31496062992125984" right="0.11811023622047245" top="0.74803149606299213" bottom="0.35433070866141736" header="0.11811023622047245" footer="0.11811023622047245"/>
  <pageSetup paperSize="9" scale="76" fitToHeight="2" orientation="landscape" r:id="rId1"/>
  <rowBreaks count="1" manualBreakCount="1">
    <brk id="27" max="10" man="1"/>
  </rowBreaks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K9"/>
  <sheetViews>
    <sheetView zoomScaleNormal="100" workbookViewId="0">
      <selection activeCell="G38" sqref="G38"/>
    </sheetView>
  </sheetViews>
  <sheetFormatPr defaultColWidth="9.140625" defaultRowHeight="12.75" x14ac:dyDescent="0.2"/>
  <cols>
    <col min="1" max="1" width="18.5703125" style="2" customWidth="1"/>
    <col min="2" max="2" width="9.140625" style="2"/>
    <col min="3" max="11" width="18.140625" style="2" customWidth="1"/>
    <col min="12" max="16384" width="9.140625" style="2"/>
  </cols>
  <sheetData>
    <row r="1" spans="1:11" x14ac:dyDescent="0.2">
      <c r="A1" s="2" t="s">
        <v>276</v>
      </c>
    </row>
    <row r="2" spans="1:11" ht="82.5" customHeight="1" x14ac:dyDescent="0.2">
      <c r="A2" s="231" t="s">
        <v>221</v>
      </c>
      <c r="B2" s="231" t="s">
        <v>1</v>
      </c>
      <c r="C2" s="231" t="s">
        <v>274</v>
      </c>
      <c r="D2" s="231"/>
      <c r="E2" s="231"/>
      <c r="F2" s="231" t="s">
        <v>275</v>
      </c>
      <c r="G2" s="231"/>
      <c r="H2" s="231"/>
      <c r="I2" s="231" t="s">
        <v>116</v>
      </c>
      <c r="J2" s="231"/>
      <c r="K2" s="231"/>
    </row>
    <row r="3" spans="1:11" x14ac:dyDescent="0.2">
      <c r="A3" s="231"/>
      <c r="B3" s="231"/>
      <c r="C3" s="1" t="s">
        <v>4</v>
      </c>
      <c r="D3" s="1" t="s">
        <v>4</v>
      </c>
      <c r="E3" s="1" t="s">
        <v>4</v>
      </c>
      <c r="F3" s="1" t="s">
        <v>4</v>
      </c>
      <c r="G3" s="1" t="s">
        <v>4</v>
      </c>
      <c r="H3" s="1" t="s">
        <v>4</v>
      </c>
      <c r="I3" s="1" t="s">
        <v>4</v>
      </c>
      <c r="J3" s="1" t="s">
        <v>4</v>
      </c>
      <c r="K3" s="1" t="s">
        <v>4</v>
      </c>
    </row>
    <row r="4" spans="1:11" ht="25.5" x14ac:dyDescent="0.2">
      <c r="A4" s="231"/>
      <c r="B4" s="231"/>
      <c r="C4" s="1" t="s">
        <v>79</v>
      </c>
      <c r="D4" s="1" t="s">
        <v>80</v>
      </c>
      <c r="E4" s="1" t="s">
        <v>81</v>
      </c>
      <c r="F4" s="1" t="s">
        <v>79</v>
      </c>
      <c r="G4" s="1" t="s">
        <v>80</v>
      </c>
      <c r="H4" s="1" t="s">
        <v>81</v>
      </c>
      <c r="I4" s="1" t="s">
        <v>79</v>
      </c>
      <c r="J4" s="1" t="s">
        <v>80</v>
      </c>
      <c r="K4" s="1" t="s">
        <v>81</v>
      </c>
    </row>
    <row r="5" spans="1:11" x14ac:dyDescent="0.2">
      <c r="A5" s="1">
        <v>1</v>
      </c>
      <c r="B5" s="1">
        <v>2</v>
      </c>
      <c r="C5" s="1">
        <v>3</v>
      </c>
      <c r="D5" s="1">
        <v>4</v>
      </c>
      <c r="E5" s="1">
        <v>5</v>
      </c>
      <c r="F5" s="1">
        <v>6</v>
      </c>
      <c r="G5" s="1">
        <v>7</v>
      </c>
      <c r="H5" s="1">
        <v>8</v>
      </c>
      <c r="I5" s="1">
        <v>9</v>
      </c>
      <c r="J5" s="1">
        <v>10</v>
      </c>
      <c r="K5" s="1">
        <v>11</v>
      </c>
    </row>
    <row r="6" spans="1:11" x14ac:dyDescent="0.2">
      <c r="A6" s="4"/>
      <c r="B6" s="1">
        <v>1</v>
      </c>
      <c r="C6" s="4"/>
      <c r="D6" s="4"/>
      <c r="E6" s="4"/>
      <c r="F6" s="4"/>
      <c r="G6" s="4"/>
      <c r="H6" s="4"/>
      <c r="I6" s="4"/>
      <c r="J6" s="4"/>
      <c r="K6" s="4"/>
    </row>
    <row r="7" spans="1:11" x14ac:dyDescent="0.2">
      <c r="A7" s="4"/>
      <c r="B7" s="1">
        <v>2</v>
      </c>
      <c r="C7" s="4"/>
      <c r="D7" s="4"/>
      <c r="E7" s="4"/>
      <c r="F7" s="4"/>
      <c r="G7" s="4"/>
      <c r="H7" s="4"/>
      <c r="I7" s="4"/>
      <c r="J7" s="4"/>
      <c r="K7" s="4"/>
    </row>
    <row r="8" spans="1:11" x14ac:dyDescent="0.2">
      <c r="A8" s="4"/>
      <c r="B8" s="4"/>
      <c r="C8" s="4"/>
      <c r="D8" s="4"/>
      <c r="E8" s="4"/>
      <c r="F8" s="4"/>
      <c r="G8" s="4"/>
      <c r="H8" s="4"/>
      <c r="I8" s="4"/>
      <c r="J8" s="4"/>
      <c r="K8" s="4"/>
    </row>
    <row r="9" spans="1:11" x14ac:dyDescent="0.2">
      <c r="A9" s="4" t="s">
        <v>136</v>
      </c>
      <c r="B9" s="1">
        <v>9000</v>
      </c>
      <c r="C9" s="1" t="s">
        <v>12</v>
      </c>
      <c r="D9" s="1" t="s">
        <v>12</v>
      </c>
      <c r="E9" s="1" t="s">
        <v>12</v>
      </c>
      <c r="F9" s="1" t="s">
        <v>12</v>
      </c>
      <c r="G9" s="1" t="s">
        <v>12</v>
      </c>
      <c r="H9" s="1" t="s">
        <v>12</v>
      </c>
      <c r="I9" s="4"/>
      <c r="J9" s="4"/>
      <c r="K9" s="4"/>
    </row>
  </sheetData>
  <mergeCells count="5">
    <mergeCell ref="A2:A4"/>
    <mergeCell ref="B2:B4"/>
    <mergeCell ref="C2:E2"/>
    <mergeCell ref="F2:H2"/>
    <mergeCell ref="I2:K2"/>
  </mergeCells>
  <pageMargins left="0.7" right="0.7" top="0.75" bottom="0.75" header="0.3" footer="0.3"/>
  <pageSetup paperSize="9" scale="68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"/>
  <sheetViews>
    <sheetView view="pageBreakPreview" zoomScaleNormal="100" zoomScaleSheetLayoutView="100" workbookViewId="0">
      <selection activeCell="K17" sqref="K17"/>
    </sheetView>
  </sheetViews>
  <sheetFormatPr defaultColWidth="9.140625" defaultRowHeight="12.75" x14ac:dyDescent="0.2"/>
  <cols>
    <col min="1" max="1" width="19.5703125" style="30" customWidth="1"/>
    <col min="2" max="2" width="9.140625" style="30"/>
    <col min="3" max="11" width="14.5703125" style="30" customWidth="1"/>
    <col min="12" max="16384" width="9.140625" style="30"/>
  </cols>
  <sheetData>
    <row r="1" spans="1:13" x14ac:dyDescent="0.2">
      <c r="A1" s="30" t="s">
        <v>279</v>
      </c>
    </row>
    <row r="3" spans="1:13" x14ac:dyDescent="0.2">
      <c r="A3" s="95" t="str">
        <f>'3.13.1'!J9</f>
        <v>0701 0210074080 621</v>
      </c>
    </row>
    <row r="4" spans="1:13" ht="25.5" customHeight="1" x14ac:dyDescent="0.2">
      <c r="A4" s="237" t="s">
        <v>221</v>
      </c>
      <c r="B4" s="237" t="s">
        <v>1</v>
      </c>
      <c r="C4" s="237" t="s">
        <v>277</v>
      </c>
      <c r="D4" s="237"/>
      <c r="E4" s="237"/>
      <c r="F4" s="237" t="s">
        <v>278</v>
      </c>
      <c r="G4" s="237"/>
      <c r="H4" s="237"/>
      <c r="I4" s="237" t="s">
        <v>116</v>
      </c>
      <c r="J4" s="237"/>
      <c r="K4" s="237"/>
    </row>
    <row r="5" spans="1:13" x14ac:dyDescent="0.2">
      <c r="A5" s="237"/>
      <c r="B5" s="237"/>
      <c r="C5" s="100" t="s">
        <v>331</v>
      </c>
      <c r="D5" s="100" t="s">
        <v>353</v>
      </c>
      <c r="E5" s="100" t="s">
        <v>455</v>
      </c>
      <c r="F5" s="100" t="s">
        <v>331</v>
      </c>
      <c r="G5" s="100" t="s">
        <v>353</v>
      </c>
      <c r="H5" s="100" t="s">
        <v>455</v>
      </c>
      <c r="I5" s="100" t="s">
        <v>331</v>
      </c>
      <c r="J5" s="100" t="s">
        <v>353</v>
      </c>
      <c r="K5" s="100" t="s">
        <v>455</v>
      </c>
    </row>
    <row r="6" spans="1:13" ht="38.25" x14ac:dyDescent="0.2">
      <c r="A6" s="237"/>
      <c r="B6" s="237"/>
      <c r="C6" s="100" t="s">
        <v>79</v>
      </c>
      <c r="D6" s="100" t="s">
        <v>80</v>
      </c>
      <c r="E6" s="100" t="s">
        <v>81</v>
      </c>
      <c r="F6" s="100" t="s">
        <v>79</v>
      </c>
      <c r="G6" s="100" t="s">
        <v>80</v>
      </c>
      <c r="H6" s="100" t="s">
        <v>81</v>
      </c>
      <c r="I6" s="100" t="s">
        <v>79</v>
      </c>
      <c r="J6" s="100" t="s">
        <v>80</v>
      </c>
      <c r="K6" s="100" t="s">
        <v>81</v>
      </c>
    </row>
    <row r="7" spans="1:13" x14ac:dyDescent="0.2">
      <c r="A7" s="100">
        <v>1</v>
      </c>
      <c r="B7" s="100">
        <v>2</v>
      </c>
      <c r="C7" s="100">
        <v>3</v>
      </c>
      <c r="D7" s="100">
        <v>4</v>
      </c>
      <c r="E7" s="100">
        <v>5</v>
      </c>
      <c r="F7" s="100">
        <v>6</v>
      </c>
      <c r="G7" s="100">
        <v>7</v>
      </c>
      <c r="H7" s="100">
        <v>8</v>
      </c>
      <c r="I7" s="100">
        <v>9</v>
      </c>
      <c r="J7" s="100">
        <v>10</v>
      </c>
      <c r="K7" s="100">
        <v>11</v>
      </c>
      <c r="L7" s="53" t="s">
        <v>434</v>
      </c>
      <c r="M7" s="53" t="s">
        <v>435</v>
      </c>
    </row>
    <row r="8" spans="1:13" ht="25.5" x14ac:dyDescent="0.2">
      <c r="A8" s="31" t="s">
        <v>371</v>
      </c>
      <c r="B8" s="100">
        <v>1</v>
      </c>
      <c r="C8" s="100">
        <v>2</v>
      </c>
      <c r="D8" s="100">
        <v>0</v>
      </c>
      <c r="E8" s="100">
        <v>0</v>
      </c>
      <c r="F8" s="90">
        <v>1300</v>
      </c>
      <c r="G8" s="90">
        <v>0</v>
      </c>
      <c r="H8" s="90">
        <v>0</v>
      </c>
      <c r="I8" s="33">
        <v>0</v>
      </c>
      <c r="J8" s="33">
        <v>0</v>
      </c>
      <c r="K8" s="33">
        <v>0</v>
      </c>
      <c r="L8" s="54"/>
      <c r="M8" s="54">
        <f>I8-L8</f>
        <v>0</v>
      </c>
    </row>
    <row r="9" spans="1:13" x14ac:dyDescent="0.2">
      <c r="A9" s="31" t="s">
        <v>136</v>
      </c>
      <c r="B9" s="100">
        <v>9000</v>
      </c>
      <c r="C9" s="100" t="s">
        <v>12</v>
      </c>
      <c r="D9" s="100" t="s">
        <v>12</v>
      </c>
      <c r="E9" s="100" t="s">
        <v>12</v>
      </c>
      <c r="F9" s="100" t="s">
        <v>12</v>
      </c>
      <c r="G9" s="100" t="s">
        <v>12</v>
      </c>
      <c r="H9" s="100" t="s">
        <v>12</v>
      </c>
      <c r="I9" s="91">
        <f>SUM(I8)</f>
        <v>0</v>
      </c>
      <c r="J9" s="91">
        <f>SUM(J8)</f>
        <v>0</v>
      </c>
      <c r="K9" s="91">
        <f>SUM(K8)</f>
        <v>0</v>
      </c>
      <c r="L9" s="55">
        <f>SUM(L8)</f>
        <v>0</v>
      </c>
      <c r="M9" s="55">
        <f>SUM(M8)</f>
        <v>0</v>
      </c>
    </row>
    <row r="10" spans="1:13" x14ac:dyDescent="0.2">
      <c r="L10" s="56">
        <f>L9</f>
        <v>0</v>
      </c>
      <c r="M10" s="56">
        <f>M9</f>
        <v>0</v>
      </c>
    </row>
  </sheetData>
  <mergeCells count="5">
    <mergeCell ref="A4:A6"/>
    <mergeCell ref="B4:B6"/>
    <mergeCell ref="C4:E4"/>
    <mergeCell ref="F4:H4"/>
    <mergeCell ref="I4:K4"/>
  </mergeCells>
  <pageMargins left="0.70866141732283472" right="0.31496062992125984" top="0.74803149606299213" bottom="0.74803149606299213" header="0.11811023622047245" footer="0.11811023622047245"/>
  <pageSetup paperSize="9" scale="85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68"/>
  <sheetViews>
    <sheetView view="pageBreakPreview" topLeftCell="A13" zoomScaleNormal="100" zoomScaleSheetLayoutView="100" workbookViewId="0">
      <selection activeCell="H12" sqref="H12"/>
    </sheetView>
  </sheetViews>
  <sheetFormatPr defaultColWidth="9.140625" defaultRowHeight="12.75" x14ac:dyDescent="0.2"/>
  <cols>
    <col min="1" max="1" width="30" style="30" customWidth="1"/>
    <col min="2" max="2" width="9.140625" style="30"/>
    <col min="3" max="8" width="15.140625" style="30" customWidth="1"/>
    <col min="9" max="9" width="12.140625" style="128" customWidth="1"/>
    <col min="10" max="10" width="11.85546875" style="128" customWidth="1"/>
    <col min="11" max="16384" width="9.140625" style="30"/>
  </cols>
  <sheetData>
    <row r="1" spans="1:10" x14ac:dyDescent="0.2">
      <c r="A1" s="30" t="s">
        <v>300</v>
      </c>
    </row>
    <row r="3" spans="1:10" x14ac:dyDescent="0.2">
      <c r="A3" s="151" t="str">
        <f>'3.13.1'!D9</f>
        <v>0701 0210080610 621</v>
      </c>
    </row>
    <row r="4" spans="1:10" x14ac:dyDescent="0.2">
      <c r="A4" s="237" t="s">
        <v>221</v>
      </c>
      <c r="B4" s="237" t="s">
        <v>1</v>
      </c>
      <c r="C4" s="237" t="s">
        <v>301</v>
      </c>
      <c r="D4" s="237"/>
      <c r="E4" s="237"/>
      <c r="F4" s="237" t="s">
        <v>302</v>
      </c>
      <c r="G4" s="237"/>
      <c r="H4" s="237"/>
    </row>
    <row r="5" spans="1:10" x14ac:dyDescent="0.2">
      <c r="A5" s="237"/>
      <c r="B5" s="237"/>
      <c r="C5" s="104" t="s">
        <v>353</v>
      </c>
      <c r="D5" s="104" t="s">
        <v>455</v>
      </c>
      <c r="E5" s="104" t="s">
        <v>508</v>
      </c>
      <c r="F5" s="104" t="s">
        <v>353</v>
      </c>
      <c r="G5" s="104" t="s">
        <v>455</v>
      </c>
      <c r="H5" s="104" t="s">
        <v>508</v>
      </c>
    </row>
    <row r="6" spans="1:10" ht="38.25" x14ac:dyDescent="0.2">
      <c r="A6" s="237"/>
      <c r="B6" s="237"/>
      <c r="C6" s="104" t="s">
        <v>79</v>
      </c>
      <c r="D6" s="104" t="s">
        <v>80</v>
      </c>
      <c r="E6" s="104" t="s">
        <v>81</v>
      </c>
      <c r="F6" s="104" t="s">
        <v>79</v>
      </c>
      <c r="G6" s="104" t="s">
        <v>80</v>
      </c>
      <c r="H6" s="104" t="s">
        <v>81</v>
      </c>
    </row>
    <row r="7" spans="1:10" x14ac:dyDescent="0.2">
      <c r="A7" s="104">
        <v>1</v>
      </c>
      <c r="B7" s="104">
        <v>2</v>
      </c>
      <c r="C7" s="104">
        <v>3</v>
      </c>
      <c r="D7" s="104">
        <v>4</v>
      </c>
      <c r="E7" s="104">
        <v>5</v>
      </c>
      <c r="F7" s="104">
        <v>9</v>
      </c>
      <c r="G7" s="104">
        <v>10</v>
      </c>
      <c r="H7" s="104">
        <v>11</v>
      </c>
      <c r="I7" s="53" t="s">
        <v>434</v>
      </c>
      <c r="J7" s="53" t="s">
        <v>435</v>
      </c>
    </row>
    <row r="8" spans="1:10" ht="38.25" x14ac:dyDescent="0.2">
      <c r="A8" s="152" t="s">
        <v>340</v>
      </c>
      <c r="B8" s="104">
        <v>1</v>
      </c>
      <c r="C8" s="113">
        <v>1</v>
      </c>
      <c r="D8" s="113">
        <v>1</v>
      </c>
      <c r="E8" s="113">
        <v>1</v>
      </c>
      <c r="F8" s="153">
        <v>24000</v>
      </c>
      <c r="G8" s="153">
        <v>24000</v>
      </c>
      <c r="H8" s="153">
        <v>24000</v>
      </c>
      <c r="I8" s="54"/>
      <c r="J8" s="54">
        <f>F8-I8</f>
        <v>24000</v>
      </c>
    </row>
    <row r="9" spans="1:10" ht="38.25" x14ac:dyDescent="0.2">
      <c r="A9" s="152" t="s">
        <v>341</v>
      </c>
      <c r="B9" s="104">
        <f>B8+1</f>
        <v>2</v>
      </c>
      <c r="C9" s="113">
        <v>1</v>
      </c>
      <c r="D9" s="113">
        <v>1</v>
      </c>
      <c r="E9" s="113">
        <v>1</v>
      </c>
      <c r="F9" s="153">
        <v>60000</v>
      </c>
      <c r="G9" s="153">
        <v>60000</v>
      </c>
      <c r="H9" s="153">
        <v>60000</v>
      </c>
      <c r="I9" s="54"/>
      <c r="J9" s="54">
        <f>F9-I9</f>
        <v>60000</v>
      </c>
    </row>
    <row r="10" spans="1:10" ht="25.5" x14ac:dyDescent="0.2">
      <c r="A10" s="152" t="s">
        <v>342</v>
      </c>
      <c r="B10" s="104">
        <f t="shared" ref="B10:B27" si="0">B9+1</f>
        <v>3</v>
      </c>
      <c r="C10" s="113">
        <v>1</v>
      </c>
      <c r="D10" s="113">
        <v>1</v>
      </c>
      <c r="E10" s="113">
        <v>1</v>
      </c>
      <c r="F10" s="153">
        <v>60000</v>
      </c>
      <c r="G10" s="153">
        <v>60000</v>
      </c>
      <c r="H10" s="153">
        <v>60000</v>
      </c>
      <c r="I10" s="54"/>
      <c r="J10" s="54">
        <f>F10-I10</f>
        <v>60000</v>
      </c>
    </row>
    <row r="11" spans="1:10" ht="25.5" x14ac:dyDescent="0.2">
      <c r="A11" s="152" t="s">
        <v>343</v>
      </c>
      <c r="B11" s="104">
        <f t="shared" si="0"/>
        <v>4</v>
      </c>
      <c r="C11" s="113">
        <v>1</v>
      </c>
      <c r="D11" s="113">
        <v>1</v>
      </c>
      <c r="E11" s="113">
        <v>1</v>
      </c>
      <c r="F11" s="153">
        <v>41400</v>
      </c>
      <c r="G11" s="153">
        <v>41400</v>
      </c>
      <c r="H11" s="153">
        <v>41400</v>
      </c>
      <c r="I11" s="54"/>
      <c r="J11" s="54">
        <f>F11-I11</f>
        <v>41400</v>
      </c>
    </row>
    <row r="12" spans="1:10" x14ac:dyDescent="0.2">
      <c r="A12" s="152" t="s">
        <v>456</v>
      </c>
      <c r="B12" s="104">
        <f t="shared" si="0"/>
        <v>5</v>
      </c>
      <c r="C12" s="113">
        <v>1</v>
      </c>
      <c r="D12" s="113">
        <v>1</v>
      </c>
      <c r="E12" s="113">
        <v>1</v>
      </c>
      <c r="F12" s="153">
        <v>4900</v>
      </c>
      <c r="G12" s="153">
        <v>4900</v>
      </c>
      <c r="H12" s="153">
        <v>4900</v>
      </c>
      <c r="I12" s="54"/>
      <c r="J12" s="54">
        <f t="shared" ref="J12:J27" si="1">F12-I12</f>
        <v>4900</v>
      </c>
    </row>
    <row r="13" spans="1:10" ht="25.5" x14ac:dyDescent="0.2">
      <c r="A13" s="152" t="s">
        <v>549</v>
      </c>
      <c r="B13" s="109">
        <f t="shared" si="0"/>
        <v>6</v>
      </c>
      <c r="C13" s="113">
        <v>1</v>
      </c>
      <c r="D13" s="113">
        <v>1</v>
      </c>
      <c r="E13" s="113">
        <v>1</v>
      </c>
      <c r="F13" s="153">
        <v>1900</v>
      </c>
      <c r="G13" s="153">
        <v>1900</v>
      </c>
      <c r="H13" s="153">
        <v>1900</v>
      </c>
      <c r="I13" s="54"/>
      <c r="J13" s="54">
        <f t="shared" si="1"/>
        <v>1900</v>
      </c>
    </row>
    <row r="14" spans="1:10" ht="25.5" x14ac:dyDescent="0.2">
      <c r="A14" s="152" t="s">
        <v>436</v>
      </c>
      <c r="B14" s="109">
        <f t="shared" si="0"/>
        <v>7</v>
      </c>
      <c r="C14" s="113">
        <v>1</v>
      </c>
      <c r="D14" s="113">
        <v>1</v>
      </c>
      <c r="E14" s="113">
        <v>1</v>
      </c>
      <c r="F14" s="153">
        <f>2000+900</f>
        <v>2900</v>
      </c>
      <c r="G14" s="153">
        <f>2000+900</f>
        <v>2900</v>
      </c>
      <c r="H14" s="153">
        <f>2000+900</f>
        <v>2900</v>
      </c>
      <c r="I14" s="54"/>
      <c r="J14" s="54">
        <f t="shared" si="1"/>
        <v>2900</v>
      </c>
    </row>
    <row r="15" spans="1:10" ht="25.5" x14ac:dyDescent="0.2">
      <c r="A15" s="152" t="s">
        <v>344</v>
      </c>
      <c r="B15" s="109">
        <f t="shared" si="0"/>
        <v>8</v>
      </c>
      <c r="C15" s="113">
        <v>1</v>
      </c>
      <c r="D15" s="113">
        <v>1</v>
      </c>
      <c r="E15" s="113">
        <v>1</v>
      </c>
      <c r="F15" s="153">
        <v>4000</v>
      </c>
      <c r="G15" s="153">
        <v>4000</v>
      </c>
      <c r="H15" s="153">
        <v>4000</v>
      </c>
      <c r="I15" s="54"/>
      <c r="J15" s="54">
        <f t="shared" si="1"/>
        <v>4000</v>
      </c>
    </row>
    <row r="16" spans="1:10" ht="25.5" x14ac:dyDescent="0.2">
      <c r="A16" s="152" t="s">
        <v>345</v>
      </c>
      <c r="B16" s="109">
        <f t="shared" si="0"/>
        <v>9</v>
      </c>
      <c r="C16" s="113">
        <v>1</v>
      </c>
      <c r="D16" s="113">
        <v>1</v>
      </c>
      <c r="E16" s="113">
        <v>1</v>
      </c>
      <c r="F16" s="153">
        <v>20000</v>
      </c>
      <c r="G16" s="153">
        <v>20000</v>
      </c>
      <c r="H16" s="153">
        <v>20000</v>
      </c>
      <c r="I16" s="54"/>
      <c r="J16" s="54">
        <f t="shared" si="1"/>
        <v>20000</v>
      </c>
    </row>
    <row r="17" spans="1:10" x14ac:dyDescent="0.2">
      <c r="A17" s="152" t="s">
        <v>346</v>
      </c>
      <c r="B17" s="104">
        <f t="shared" si="0"/>
        <v>10</v>
      </c>
      <c r="C17" s="113">
        <v>1</v>
      </c>
      <c r="D17" s="113">
        <v>1</v>
      </c>
      <c r="E17" s="113">
        <v>1</v>
      </c>
      <c r="F17" s="153">
        <v>19400</v>
      </c>
      <c r="G17" s="153">
        <v>19400</v>
      </c>
      <c r="H17" s="153">
        <v>19400</v>
      </c>
      <c r="I17" s="54"/>
      <c r="J17" s="54">
        <f t="shared" si="1"/>
        <v>19400</v>
      </c>
    </row>
    <row r="18" spans="1:10" ht="25.5" x14ac:dyDescent="0.2">
      <c r="A18" s="152" t="s">
        <v>347</v>
      </c>
      <c r="B18" s="104">
        <f t="shared" si="0"/>
        <v>11</v>
      </c>
      <c r="C18" s="113">
        <v>1</v>
      </c>
      <c r="D18" s="113">
        <v>1</v>
      </c>
      <c r="E18" s="113">
        <v>1</v>
      </c>
      <c r="F18" s="153">
        <v>27930</v>
      </c>
      <c r="G18" s="153">
        <v>27930</v>
      </c>
      <c r="H18" s="153">
        <v>27930</v>
      </c>
      <c r="I18" s="54"/>
      <c r="J18" s="54">
        <f t="shared" si="1"/>
        <v>27930</v>
      </c>
    </row>
    <row r="19" spans="1:10" ht="31.5" customHeight="1" x14ac:dyDescent="0.2">
      <c r="A19" s="125" t="s">
        <v>315</v>
      </c>
      <c r="B19" s="104">
        <f t="shared" si="0"/>
        <v>12</v>
      </c>
      <c r="C19" s="113">
        <v>3</v>
      </c>
      <c r="D19" s="113">
        <v>3</v>
      </c>
      <c r="E19" s="113">
        <v>3</v>
      </c>
      <c r="F19" s="154">
        <v>53440</v>
      </c>
      <c r="G19" s="154">
        <v>53440</v>
      </c>
      <c r="H19" s="154">
        <v>53440</v>
      </c>
      <c r="I19" s="54"/>
      <c r="J19" s="54">
        <f t="shared" si="1"/>
        <v>53440</v>
      </c>
    </row>
    <row r="20" spans="1:10" ht="25.5" x14ac:dyDescent="0.2">
      <c r="A20" s="152" t="s">
        <v>348</v>
      </c>
      <c r="B20" s="104">
        <f t="shared" si="0"/>
        <v>13</v>
      </c>
      <c r="C20" s="113">
        <v>1</v>
      </c>
      <c r="D20" s="113">
        <v>1</v>
      </c>
      <c r="E20" s="113">
        <v>1</v>
      </c>
      <c r="F20" s="153">
        <v>2500</v>
      </c>
      <c r="G20" s="153">
        <v>2500</v>
      </c>
      <c r="H20" s="153">
        <v>2500</v>
      </c>
      <c r="I20" s="54"/>
      <c r="J20" s="54">
        <f t="shared" si="1"/>
        <v>2500</v>
      </c>
    </row>
    <row r="21" spans="1:10" ht="38.25" x14ac:dyDescent="0.2">
      <c r="A21" s="152" t="s">
        <v>518</v>
      </c>
      <c r="B21" s="104">
        <f t="shared" si="0"/>
        <v>14</v>
      </c>
      <c r="C21" s="113">
        <v>1</v>
      </c>
      <c r="D21" s="113">
        <v>1</v>
      </c>
      <c r="E21" s="113">
        <v>1</v>
      </c>
      <c r="F21" s="153">
        <v>13000</v>
      </c>
      <c r="G21" s="153">
        <v>13000</v>
      </c>
      <c r="H21" s="153">
        <v>13000</v>
      </c>
      <c r="I21" s="54"/>
      <c r="J21" s="54">
        <f t="shared" si="1"/>
        <v>13000</v>
      </c>
    </row>
    <row r="22" spans="1:10" x14ac:dyDescent="0.2">
      <c r="A22" s="152" t="s">
        <v>349</v>
      </c>
      <c r="B22" s="104">
        <f t="shared" si="0"/>
        <v>15</v>
      </c>
      <c r="C22" s="113">
        <v>1</v>
      </c>
      <c r="D22" s="113">
        <v>1</v>
      </c>
      <c r="E22" s="113">
        <v>1</v>
      </c>
      <c r="F22" s="153">
        <v>9000</v>
      </c>
      <c r="G22" s="153">
        <v>9000</v>
      </c>
      <c r="H22" s="153">
        <v>9000</v>
      </c>
      <c r="I22" s="54"/>
      <c r="J22" s="54">
        <f t="shared" si="1"/>
        <v>9000</v>
      </c>
    </row>
    <row r="23" spans="1:10" x14ac:dyDescent="0.2">
      <c r="A23" s="152" t="s">
        <v>350</v>
      </c>
      <c r="B23" s="104">
        <f t="shared" si="0"/>
        <v>16</v>
      </c>
      <c r="C23" s="113">
        <v>1</v>
      </c>
      <c r="D23" s="113">
        <v>1</v>
      </c>
      <c r="E23" s="113">
        <v>1</v>
      </c>
      <c r="F23" s="153">
        <v>2000</v>
      </c>
      <c r="G23" s="153">
        <v>2000</v>
      </c>
      <c r="H23" s="153">
        <v>2000</v>
      </c>
      <c r="I23" s="54"/>
      <c r="J23" s="54">
        <f t="shared" si="1"/>
        <v>2000</v>
      </c>
    </row>
    <row r="24" spans="1:10" ht="25.5" x14ac:dyDescent="0.2">
      <c r="A24" s="152" t="s">
        <v>351</v>
      </c>
      <c r="B24" s="104">
        <f t="shared" si="0"/>
        <v>17</v>
      </c>
      <c r="C24" s="113">
        <v>1</v>
      </c>
      <c r="D24" s="113">
        <v>1</v>
      </c>
      <c r="E24" s="113">
        <v>1</v>
      </c>
      <c r="F24" s="153">
        <v>6000</v>
      </c>
      <c r="G24" s="153">
        <v>6000</v>
      </c>
      <c r="H24" s="153">
        <v>6000</v>
      </c>
      <c r="I24" s="54"/>
      <c r="J24" s="54">
        <f t="shared" si="1"/>
        <v>6000</v>
      </c>
    </row>
    <row r="25" spans="1:10" x14ac:dyDescent="0.2">
      <c r="A25" s="152" t="s">
        <v>314</v>
      </c>
      <c r="B25" s="104">
        <f t="shared" si="0"/>
        <v>18</v>
      </c>
      <c r="C25" s="113">
        <v>1</v>
      </c>
      <c r="D25" s="113">
        <v>1</v>
      </c>
      <c r="E25" s="113">
        <v>1</v>
      </c>
      <c r="F25" s="153">
        <v>8840</v>
      </c>
      <c r="G25" s="153">
        <v>8840</v>
      </c>
      <c r="H25" s="153">
        <v>8840</v>
      </c>
      <c r="I25" s="54"/>
      <c r="J25" s="54">
        <f t="shared" si="1"/>
        <v>8840</v>
      </c>
    </row>
    <row r="26" spans="1:10" ht="25.5" x14ac:dyDescent="0.2">
      <c r="A26" s="152" t="s">
        <v>496</v>
      </c>
      <c r="B26" s="104">
        <f t="shared" si="0"/>
        <v>19</v>
      </c>
      <c r="C26" s="113">
        <v>1</v>
      </c>
      <c r="D26" s="113">
        <v>1</v>
      </c>
      <c r="E26" s="113">
        <v>1</v>
      </c>
      <c r="F26" s="153">
        <v>6140</v>
      </c>
      <c r="G26" s="153">
        <v>6140</v>
      </c>
      <c r="H26" s="153">
        <v>6140</v>
      </c>
      <c r="I26" s="54"/>
      <c r="J26" s="54">
        <f t="shared" si="1"/>
        <v>6140</v>
      </c>
    </row>
    <row r="27" spans="1:10" ht="25.5" x14ac:dyDescent="0.2">
      <c r="A27" s="152" t="s">
        <v>352</v>
      </c>
      <c r="B27" s="104">
        <f t="shared" si="0"/>
        <v>20</v>
      </c>
      <c r="C27" s="113">
        <v>2</v>
      </c>
      <c r="D27" s="113">
        <v>2</v>
      </c>
      <c r="E27" s="113">
        <v>2</v>
      </c>
      <c r="F27" s="153">
        <v>3000</v>
      </c>
      <c r="G27" s="153">
        <v>3000</v>
      </c>
      <c r="H27" s="153">
        <v>3000</v>
      </c>
      <c r="I27" s="54"/>
      <c r="J27" s="54">
        <f t="shared" si="1"/>
        <v>3000</v>
      </c>
    </row>
    <row r="28" spans="1:10" x14ac:dyDescent="0.2">
      <c r="A28" s="31" t="s">
        <v>136</v>
      </c>
      <c r="B28" s="104">
        <v>9000</v>
      </c>
      <c r="C28" s="104" t="s">
        <v>12</v>
      </c>
      <c r="D28" s="104" t="s">
        <v>12</v>
      </c>
      <c r="E28" s="104" t="s">
        <v>12</v>
      </c>
      <c r="F28" s="155">
        <f>SUM(F8:F27)</f>
        <v>370350</v>
      </c>
      <c r="G28" s="155">
        <f>SUM(G8:G27)</f>
        <v>370350</v>
      </c>
      <c r="H28" s="155">
        <f>SUM(H8:H27)</f>
        <v>370350</v>
      </c>
      <c r="I28" s="55">
        <f>SUM(I8:I27)</f>
        <v>0</v>
      </c>
      <c r="J28" s="55">
        <f>SUM(J8:J27)</f>
        <v>370350</v>
      </c>
    </row>
    <row r="30" spans="1:10" x14ac:dyDescent="0.2">
      <c r="A30" s="30" t="str">
        <f>'3.13.1'!J9</f>
        <v>0701 0210074080 621</v>
      </c>
    </row>
    <row r="31" spans="1:10" x14ac:dyDescent="0.2">
      <c r="A31" s="237" t="s">
        <v>221</v>
      </c>
      <c r="B31" s="237" t="s">
        <v>1</v>
      </c>
      <c r="C31" s="237" t="s">
        <v>301</v>
      </c>
      <c r="D31" s="237"/>
      <c r="E31" s="237"/>
      <c r="F31" s="237" t="s">
        <v>302</v>
      </c>
      <c r="G31" s="237"/>
      <c r="H31" s="237"/>
    </row>
    <row r="32" spans="1:10" x14ac:dyDescent="0.2">
      <c r="A32" s="237"/>
      <c r="B32" s="237"/>
      <c r="C32" s="104" t="s">
        <v>353</v>
      </c>
      <c r="D32" s="104" t="s">
        <v>455</v>
      </c>
      <c r="E32" s="104" t="s">
        <v>508</v>
      </c>
      <c r="F32" s="104" t="s">
        <v>353</v>
      </c>
      <c r="G32" s="104" t="s">
        <v>455</v>
      </c>
      <c r="H32" s="104" t="s">
        <v>508</v>
      </c>
    </row>
    <row r="33" spans="1:11" ht="38.25" x14ac:dyDescent="0.2">
      <c r="A33" s="237"/>
      <c r="B33" s="237"/>
      <c r="C33" s="104" t="s">
        <v>79</v>
      </c>
      <c r="D33" s="104" t="s">
        <v>80</v>
      </c>
      <c r="E33" s="104" t="s">
        <v>81</v>
      </c>
      <c r="F33" s="104" t="s">
        <v>79</v>
      </c>
      <c r="G33" s="104" t="s">
        <v>80</v>
      </c>
      <c r="H33" s="104" t="s">
        <v>81</v>
      </c>
    </row>
    <row r="34" spans="1:11" x14ac:dyDescent="0.2">
      <c r="A34" s="104">
        <v>1</v>
      </c>
      <c r="B34" s="104">
        <v>2</v>
      </c>
      <c r="C34" s="104">
        <v>3</v>
      </c>
      <c r="D34" s="104">
        <v>4</v>
      </c>
      <c r="E34" s="104">
        <v>5</v>
      </c>
      <c r="F34" s="104">
        <v>9</v>
      </c>
      <c r="G34" s="104">
        <v>10</v>
      </c>
      <c r="H34" s="104">
        <v>11</v>
      </c>
      <c r="I34" s="53" t="s">
        <v>434</v>
      </c>
      <c r="J34" s="53" t="s">
        <v>435</v>
      </c>
    </row>
    <row r="35" spans="1:11" ht="25.5" x14ac:dyDescent="0.2">
      <c r="A35" s="125" t="s">
        <v>372</v>
      </c>
      <c r="B35" s="104">
        <v>1</v>
      </c>
      <c r="C35" s="113">
        <v>1</v>
      </c>
      <c r="D35" s="113">
        <v>1</v>
      </c>
      <c r="E35" s="113">
        <v>1</v>
      </c>
      <c r="F35" s="154">
        <v>7200</v>
      </c>
      <c r="G35" s="154">
        <v>7200</v>
      </c>
      <c r="H35" s="154">
        <v>7200</v>
      </c>
      <c r="I35" s="54"/>
      <c r="J35" s="54">
        <f>F35-I35</f>
        <v>7200</v>
      </c>
      <c r="K35" s="156"/>
    </row>
    <row r="36" spans="1:11" x14ac:dyDescent="0.2">
      <c r="A36" s="125" t="s">
        <v>519</v>
      </c>
      <c r="B36" s="104">
        <f>B35+1</f>
        <v>2</v>
      </c>
      <c r="C36" s="113">
        <v>1</v>
      </c>
      <c r="D36" s="113">
        <v>1</v>
      </c>
      <c r="E36" s="113">
        <v>1</v>
      </c>
      <c r="F36" s="154">
        <v>1500</v>
      </c>
      <c r="G36" s="154">
        <v>1500</v>
      </c>
      <c r="H36" s="154">
        <v>1500</v>
      </c>
      <c r="I36" s="54"/>
      <c r="J36" s="54"/>
      <c r="K36" s="156"/>
    </row>
    <row r="37" spans="1:11" x14ac:dyDescent="0.2">
      <c r="A37" s="157" t="s">
        <v>346</v>
      </c>
      <c r="B37" s="104">
        <f>B36+1</f>
        <v>3</v>
      </c>
      <c r="C37" s="113">
        <v>1</v>
      </c>
      <c r="D37" s="113">
        <v>1</v>
      </c>
      <c r="E37" s="113">
        <v>1</v>
      </c>
      <c r="F37" s="154">
        <v>46500</v>
      </c>
      <c r="G37" s="154">
        <v>46500</v>
      </c>
      <c r="H37" s="154">
        <v>46500</v>
      </c>
      <c r="I37" s="54"/>
      <c r="J37" s="54">
        <f>F37-I37</f>
        <v>46500</v>
      </c>
    </row>
    <row r="38" spans="1:11" x14ac:dyDescent="0.2">
      <c r="A38" s="31" t="s">
        <v>136</v>
      </c>
      <c r="B38" s="104">
        <v>9000</v>
      </c>
      <c r="C38" s="104" t="s">
        <v>12</v>
      </c>
      <c r="D38" s="104" t="s">
        <v>12</v>
      </c>
      <c r="E38" s="104" t="s">
        <v>12</v>
      </c>
      <c r="F38" s="32">
        <f>SUM(F35:F37)</f>
        <v>55200</v>
      </c>
      <c r="G38" s="32">
        <f>SUM(G35:G37)</f>
        <v>55200</v>
      </c>
      <c r="H38" s="32">
        <f>SUM(H35:H37)</f>
        <v>55200</v>
      </c>
      <c r="I38" s="32">
        <f>SUM(I35:I37)</f>
        <v>0</v>
      </c>
      <c r="J38" s="32">
        <f>SUM(J35:J37)</f>
        <v>53700</v>
      </c>
    </row>
    <row r="40" spans="1:11" x14ac:dyDescent="0.2">
      <c r="A40" s="30" t="str">
        <f>'3.13.1'!I9</f>
        <v>0701 0210075880 621</v>
      </c>
    </row>
    <row r="41" spans="1:11" x14ac:dyDescent="0.2">
      <c r="A41" s="237" t="s">
        <v>221</v>
      </c>
      <c r="B41" s="237" t="s">
        <v>1</v>
      </c>
      <c r="C41" s="237" t="s">
        <v>301</v>
      </c>
      <c r="D41" s="237"/>
      <c r="E41" s="237"/>
      <c r="F41" s="237" t="s">
        <v>302</v>
      </c>
      <c r="G41" s="237"/>
      <c r="H41" s="237"/>
    </row>
    <row r="42" spans="1:11" x14ac:dyDescent="0.2">
      <c r="A42" s="237"/>
      <c r="B42" s="237"/>
      <c r="C42" s="104" t="s">
        <v>353</v>
      </c>
      <c r="D42" s="104" t="s">
        <v>455</v>
      </c>
      <c r="E42" s="104" t="s">
        <v>508</v>
      </c>
      <c r="F42" s="104" t="s">
        <v>353</v>
      </c>
      <c r="G42" s="104" t="s">
        <v>455</v>
      </c>
      <c r="H42" s="104" t="s">
        <v>508</v>
      </c>
    </row>
    <row r="43" spans="1:11" ht="38.25" x14ac:dyDescent="0.2">
      <c r="A43" s="237"/>
      <c r="B43" s="237"/>
      <c r="C43" s="104" t="s">
        <v>79</v>
      </c>
      <c r="D43" s="104" t="s">
        <v>80</v>
      </c>
      <c r="E43" s="104" t="s">
        <v>81</v>
      </c>
      <c r="F43" s="104" t="s">
        <v>79</v>
      </c>
      <c r="G43" s="104" t="s">
        <v>80</v>
      </c>
      <c r="H43" s="104" t="s">
        <v>81</v>
      </c>
    </row>
    <row r="44" spans="1:11" x14ac:dyDescent="0.2">
      <c r="A44" s="104">
        <v>1</v>
      </c>
      <c r="B44" s="104">
        <v>2</v>
      </c>
      <c r="C44" s="104">
        <v>3</v>
      </c>
      <c r="D44" s="104">
        <v>4</v>
      </c>
      <c r="E44" s="104">
        <v>5</v>
      </c>
      <c r="F44" s="104">
        <v>9</v>
      </c>
      <c r="G44" s="104">
        <v>10</v>
      </c>
      <c r="H44" s="104">
        <v>11</v>
      </c>
      <c r="I44" s="53" t="s">
        <v>434</v>
      </c>
      <c r="J44" s="53" t="s">
        <v>435</v>
      </c>
    </row>
    <row r="45" spans="1:11" x14ac:dyDescent="0.2">
      <c r="A45" s="158" t="s">
        <v>346</v>
      </c>
      <c r="B45" s="104">
        <v>1</v>
      </c>
      <c r="C45" s="113">
        <v>1</v>
      </c>
      <c r="D45" s="113">
        <v>1</v>
      </c>
      <c r="E45" s="113">
        <v>1</v>
      </c>
      <c r="F45" s="153">
        <v>80864</v>
      </c>
      <c r="G45" s="153">
        <v>80864</v>
      </c>
      <c r="H45" s="153">
        <v>80864</v>
      </c>
      <c r="I45" s="54"/>
      <c r="J45" s="54">
        <f>F45-I45</f>
        <v>80864</v>
      </c>
    </row>
    <row r="46" spans="1:11" ht="25.5" x14ac:dyDescent="0.2">
      <c r="A46" s="152" t="s">
        <v>376</v>
      </c>
      <c r="B46" s="104">
        <f>B45+1</f>
        <v>2</v>
      </c>
      <c r="C46" s="113">
        <v>2</v>
      </c>
      <c r="D46" s="113">
        <v>2</v>
      </c>
      <c r="E46" s="113">
        <v>2</v>
      </c>
      <c r="F46" s="153">
        <v>47596</v>
      </c>
      <c r="G46" s="153">
        <v>47596</v>
      </c>
      <c r="H46" s="153">
        <v>47596</v>
      </c>
      <c r="I46" s="54"/>
      <c r="J46" s="54">
        <f>F46-I46</f>
        <v>47596</v>
      </c>
    </row>
    <row r="47" spans="1:11" x14ac:dyDescent="0.2">
      <c r="A47" s="125" t="s">
        <v>519</v>
      </c>
      <c r="B47" s="104">
        <f>B46+1</f>
        <v>3</v>
      </c>
      <c r="C47" s="113">
        <v>1</v>
      </c>
      <c r="D47" s="113">
        <v>1</v>
      </c>
      <c r="E47" s="113">
        <v>1</v>
      </c>
      <c r="F47" s="153">
        <v>1500</v>
      </c>
      <c r="G47" s="153">
        <v>1500</v>
      </c>
      <c r="H47" s="153">
        <v>1500</v>
      </c>
      <c r="I47" s="54"/>
      <c r="J47" s="54"/>
    </row>
    <row r="48" spans="1:11" ht="25.5" x14ac:dyDescent="0.2">
      <c r="A48" s="152" t="s">
        <v>372</v>
      </c>
      <c r="B48" s="104">
        <f>B47+1</f>
        <v>4</v>
      </c>
      <c r="C48" s="113">
        <v>1</v>
      </c>
      <c r="D48" s="113">
        <v>1</v>
      </c>
      <c r="E48" s="113">
        <v>1</v>
      </c>
      <c r="F48" s="153">
        <v>8000</v>
      </c>
      <c r="G48" s="153">
        <v>8000</v>
      </c>
      <c r="H48" s="153">
        <v>8000</v>
      </c>
      <c r="I48" s="54"/>
      <c r="J48" s="54">
        <f>F48-I48</f>
        <v>8000</v>
      </c>
    </row>
    <row r="49" spans="1:13" ht="38.25" x14ac:dyDescent="0.2">
      <c r="A49" s="142" t="s">
        <v>373</v>
      </c>
      <c r="B49" s="104">
        <f>B48+1</f>
        <v>5</v>
      </c>
      <c r="C49" s="113">
        <v>1</v>
      </c>
      <c r="D49" s="113">
        <v>1</v>
      </c>
      <c r="E49" s="113">
        <v>1</v>
      </c>
      <c r="F49" s="153">
        <v>5000</v>
      </c>
      <c r="G49" s="153">
        <v>5000</v>
      </c>
      <c r="H49" s="153">
        <v>5000</v>
      </c>
      <c r="I49" s="54"/>
      <c r="J49" s="54">
        <f>F49-I49</f>
        <v>5000</v>
      </c>
    </row>
    <row r="50" spans="1:13" x14ac:dyDescent="0.2">
      <c r="A50" s="31" t="s">
        <v>136</v>
      </c>
      <c r="B50" s="104">
        <v>9000</v>
      </c>
      <c r="C50" s="104" t="s">
        <v>12</v>
      </c>
      <c r="D50" s="104" t="s">
        <v>12</v>
      </c>
      <c r="E50" s="104" t="s">
        <v>12</v>
      </c>
      <c r="F50" s="32">
        <f>SUM(F45:F49)</f>
        <v>142960</v>
      </c>
      <c r="G50" s="32">
        <f>SUM(G45:G49)</f>
        <v>142960</v>
      </c>
      <c r="H50" s="32">
        <f>SUM(H45:H49)</f>
        <v>142960</v>
      </c>
      <c r="I50" s="55">
        <f>I45+I46+I48+I49</f>
        <v>0</v>
      </c>
      <c r="J50" s="55">
        <f>J45+J46+J48+J49</f>
        <v>141460</v>
      </c>
      <c r="K50" s="267"/>
      <c r="L50" s="267"/>
      <c r="M50" s="267"/>
    </row>
    <row r="51" spans="1:13" x14ac:dyDescent="0.2">
      <c r="K51" s="267"/>
      <c r="L51" s="267"/>
      <c r="M51" s="267"/>
    </row>
    <row r="52" spans="1:13" hidden="1" x14ac:dyDescent="0.2">
      <c r="A52" s="30" t="str">
        <f>'3.13.1'!M9</f>
        <v>0701 4200099000 853</v>
      </c>
    </row>
    <row r="53" spans="1:13" hidden="1" x14ac:dyDescent="0.2">
      <c r="A53" s="237" t="s">
        <v>221</v>
      </c>
      <c r="B53" s="237" t="s">
        <v>1</v>
      </c>
      <c r="C53" s="237" t="s">
        <v>301</v>
      </c>
      <c r="D53" s="237"/>
      <c r="E53" s="237"/>
      <c r="F53" s="237" t="s">
        <v>302</v>
      </c>
      <c r="G53" s="237"/>
      <c r="H53" s="237"/>
    </row>
    <row r="54" spans="1:13" hidden="1" x14ac:dyDescent="0.2">
      <c r="A54" s="237"/>
      <c r="B54" s="237"/>
      <c r="C54" s="104" t="s">
        <v>331</v>
      </c>
      <c r="D54" s="104" t="s">
        <v>353</v>
      </c>
      <c r="E54" s="104" t="s">
        <v>455</v>
      </c>
      <c r="F54" s="104" t="s">
        <v>331</v>
      </c>
      <c r="G54" s="104" t="s">
        <v>353</v>
      </c>
      <c r="H54" s="104" t="s">
        <v>455</v>
      </c>
    </row>
    <row r="55" spans="1:13" ht="38.25" hidden="1" x14ac:dyDescent="0.2">
      <c r="A55" s="237"/>
      <c r="B55" s="237"/>
      <c r="C55" s="104" t="s">
        <v>79</v>
      </c>
      <c r="D55" s="104" t="s">
        <v>80</v>
      </c>
      <c r="E55" s="104" t="s">
        <v>81</v>
      </c>
      <c r="F55" s="104" t="s">
        <v>79</v>
      </c>
      <c r="G55" s="104" t="s">
        <v>80</v>
      </c>
      <c r="H55" s="104" t="s">
        <v>81</v>
      </c>
    </row>
    <row r="56" spans="1:13" hidden="1" x14ac:dyDescent="0.2">
      <c r="A56" s="104">
        <v>1</v>
      </c>
      <c r="B56" s="104">
        <v>2</v>
      </c>
      <c r="C56" s="104">
        <v>3</v>
      </c>
      <c r="D56" s="104">
        <v>4</v>
      </c>
      <c r="E56" s="104">
        <v>5</v>
      </c>
      <c r="F56" s="104">
        <v>9</v>
      </c>
      <c r="G56" s="104">
        <v>10</v>
      </c>
      <c r="H56" s="104">
        <v>11</v>
      </c>
      <c r="I56" s="53" t="s">
        <v>434</v>
      </c>
      <c r="J56" s="53" t="s">
        <v>435</v>
      </c>
    </row>
    <row r="57" spans="1:13" ht="25.5" hidden="1" x14ac:dyDescent="0.2">
      <c r="A57" s="125" t="s">
        <v>497</v>
      </c>
      <c r="B57" s="104">
        <v>1</v>
      </c>
      <c r="C57" s="104">
        <v>1</v>
      </c>
      <c r="D57" s="104">
        <v>1</v>
      </c>
      <c r="E57" s="104">
        <v>1</v>
      </c>
      <c r="F57" s="103">
        <v>0</v>
      </c>
      <c r="G57" s="103">
        <v>0</v>
      </c>
      <c r="H57" s="103">
        <v>0</v>
      </c>
      <c r="I57" s="54"/>
      <c r="J57" s="54">
        <f>F57-I57</f>
        <v>0</v>
      </c>
    </row>
    <row r="58" spans="1:13" ht="38.25" hidden="1" x14ac:dyDescent="0.2">
      <c r="A58" s="125" t="s">
        <v>507</v>
      </c>
      <c r="B58" s="104">
        <v>2</v>
      </c>
      <c r="C58" s="104">
        <v>1</v>
      </c>
      <c r="D58" s="104">
        <v>1</v>
      </c>
      <c r="E58" s="104">
        <v>1</v>
      </c>
      <c r="F58" s="103">
        <v>0</v>
      </c>
      <c r="G58" s="103">
        <v>0</v>
      </c>
      <c r="H58" s="103">
        <v>0</v>
      </c>
      <c r="I58" s="54"/>
      <c r="J58" s="54">
        <f>F58-I58</f>
        <v>0</v>
      </c>
    </row>
    <row r="59" spans="1:13" hidden="1" x14ac:dyDescent="0.2">
      <c r="A59" s="31" t="s">
        <v>136</v>
      </c>
      <c r="B59" s="104">
        <v>9000</v>
      </c>
      <c r="C59" s="104" t="s">
        <v>12</v>
      </c>
      <c r="D59" s="104" t="s">
        <v>12</v>
      </c>
      <c r="E59" s="104" t="s">
        <v>12</v>
      </c>
      <c r="F59" s="32">
        <f>SUM(F57:F58)</f>
        <v>0</v>
      </c>
      <c r="G59" s="32">
        <f>SUM(G57:G58)</f>
        <v>0</v>
      </c>
      <c r="H59" s="32">
        <f>SUM(H57:H58)</f>
        <v>0</v>
      </c>
      <c r="I59" s="32">
        <f>SUM(I57:I58)</f>
        <v>0</v>
      </c>
      <c r="J59" s="32">
        <f>SUM(J57:J58)</f>
        <v>0</v>
      </c>
    </row>
    <row r="60" spans="1:13" hidden="1" x14ac:dyDescent="0.2">
      <c r="A60" s="133"/>
      <c r="B60" s="108"/>
      <c r="C60" s="108"/>
      <c r="D60" s="108"/>
      <c r="E60" s="108"/>
      <c r="F60" s="134"/>
      <c r="G60" s="134"/>
      <c r="H60" s="134"/>
      <c r="I60" s="138"/>
      <c r="J60" s="138"/>
    </row>
    <row r="61" spans="1:13" hidden="1" x14ac:dyDescent="0.2">
      <c r="A61" s="30" t="e">
        <f>'3.13.1'!#REF!</f>
        <v>#REF!</v>
      </c>
    </row>
    <row r="62" spans="1:13" hidden="1" x14ac:dyDescent="0.2">
      <c r="A62" s="237" t="s">
        <v>221</v>
      </c>
      <c r="B62" s="237" t="s">
        <v>1</v>
      </c>
      <c r="C62" s="237" t="s">
        <v>301</v>
      </c>
      <c r="D62" s="237"/>
      <c r="E62" s="237"/>
      <c r="F62" s="237" t="s">
        <v>302</v>
      </c>
      <c r="G62" s="237"/>
      <c r="H62" s="237"/>
    </row>
    <row r="63" spans="1:13" hidden="1" x14ac:dyDescent="0.2">
      <c r="A63" s="237"/>
      <c r="B63" s="237"/>
      <c r="C63" s="104" t="s">
        <v>330</v>
      </c>
      <c r="D63" s="104" t="s">
        <v>331</v>
      </c>
      <c r="E63" s="104" t="s">
        <v>332</v>
      </c>
      <c r="F63" s="104" t="s">
        <v>330</v>
      </c>
      <c r="G63" s="104" t="s">
        <v>331</v>
      </c>
      <c r="H63" s="104" t="s">
        <v>332</v>
      </c>
    </row>
    <row r="64" spans="1:13" ht="38.25" hidden="1" x14ac:dyDescent="0.2">
      <c r="A64" s="237"/>
      <c r="B64" s="237"/>
      <c r="C64" s="104" t="s">
        <v>79</v>
      </c>
      <c r="D64" s="104" t="s">
        <v>80</v>
      </c>
      <c r="E64" s="104" t="s">
        <v>81</v>
      </c>
      <c r="F64" s="104" t="s">
        <v>79</v>
      </c>
      <c r="G64" s="104" t="s">
        <v>80</v>
      </c>
      <c r="H64" s="104" t="s">
        <v>81</v>
      </c>
    </row>
    <row r="65" spans="1:10" hidden="1" x14ac:dyDescent="0.2">
      <c r="A65" s="104">
        <v>1</v>
      </c>
      <c r="B65" s="104">
        <v>2</v>
      </c>
      <c r="C65" s="104">
        <v>3</v>
      </c>
      <c r="D65" s="104">
        <v>4</v>
      </c>
      <c r="E65" s="104">
        <v>5</v>
      </c>
      <c r="F65" s="104">
        <v>9</v>
      </c>
      <c r="G65" s="104">
        <v>10</v>
      </c>
      <c r="H65" s="104">
        <v>11</v>
      </c>
      <c r="I65" s="53" t="s">
        <v>434</v>
      </c>
      <c r="J65" s="53" t="s">
        <v>435</v>
      </c>
    </row>
    <row r="66" spans="1:10" hidden="1" x14ac:dyDescent="0.2">
      <c r="A66" s="125"/>
      <c r="B66" s="104">
        <v>1</v>
      </c>
      <c r="C66" s="104">
        <v>1</v>
      </c>
      <c r="D66" s="104">
        <v>1</v>
      </c>
      <c r="E66" s="104">
        <v>1</v>
      </c>
      <c r="F66" s="103">
        <v>0</v>
      </c>
      <c r="G66" s="103">
        <v>0</v>
      </c>
      <c r="H66" s="103">
        <v>0</v>
      </c>
      <c r="I66" s="54"/>
      <c r="J66" s="54">
        <f>F66-I66</f>
        <v>0</v>
      </c>
    </row>
    <row r="67" spans="1:10" hidden="1" x14ac:dyDescent="0.2">
      <c r="A67" s="31" t="s">
        <v>136</v>
      </c>
      <c r="B67" s="104">
        <v>9000</v>
      </c>
      <c r="C67" s="104" t="s">
        <v>12</v>
      </c>
      <c r="D67" s="104" t="s">
        <v>12</v>
      </c>
      <c r="E67" s="104" t="s">
        <v>12</v>
      </c>
      <c r="F67" s="32">
        <f>SUM(F66:F66)</f>
        <v>0</v>
      </c>
      <c r="G67" s="32">
        <f>SUM(G66:G66)</f>
        <v>0</v>
      </c>
      <c r="H67" s="32">
        <f>SUM(H66:H66)</f>
        <v>0</v>
      </c>
      <c r="I67" s="55">
        <f>I66</f>
        <v>0</v>
      </c>
      <c r="J67" s="55">
        <f>J66</f>
        <v>0</v>
      </c>
    </row>
    <row r="68" spans="1:10" x14ac:dyDescent="0.2">
      <c r="I68" s="55">
        <f>I67+I59+I50+I38+I28</f>
        <v>0</v>
      </c>
      <c r="J68" s="55">
        <f>J67+J59+J50+J38+J28</f>
        <v>565510</v>
      </c>
    </row>
  </sheetData>
  <mergeCells count="21">
    <mergeCell ref="A4:A6"/>
    <mergeCell ref="B4:B6"/>
    <mergeCell ref="C4:E4"/>
    <mergeCell ref="F4:H4"/>
    <mergeCell ref="A31:A33"/>
    <mergeCell ref="B31:B33"/>
    <mergeCell ref="C31:E31"/>
    <mergeCell ref="F31:H31"/>
    <mergeCell ref="K50:M51"/>
    <mergeCell ref="A41:A43"/>
    <mergeCell ref="B41:B43"/>
    <mergeCell ref="C41:E41"/>
    <mergeCell ref="F41:H41"/>
    <mergeCell ref="A62:A64"/>
    <mergeCell ref="B62:B64"/>
    <mergeCell ref="C62:E62"/>
    <mergeCell ref="F62:H62"/>
    <mergeCell ref="A53:A55"/>
    <mergeCell ref="B53:B55"/>
    <mergeCell ref="C53:E53"/>
    <mergeCell ref="F53:H53"/>
  </mergeCells>
  <pageMargins left="0.70866141732283472" right="0.70866141732283472" top="0.74803149606299213" bottom="0.74803149606299213" header="0.31496062992125984" footer="0.31496062992125984"/>
  <pageSetup paperSize="9" scale="97" fitToHeight="2" orientation="landscape" r:id="rId1"/>
  <rowBreaks count="1" manualBreakCount="1">
    <brk id="28" max="16383" man="1"/>
  </rowBreaks>
  <legacy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3"/>
  <sheetViews>
    <sheetView view="pageBreakPreview" topLeftCell="A22" zoomScaleNormal="75" zoomScaleSheetLayoutView="100" workbookViewId="0">
      <selection sqref="A1:XFD1048576"/>
    </sheetView>
  </sheetViews>
  <sheetFormatPr defaultColWidth="9.140625" defaultRowHeight="12.75" x14ac:dyDescent="0.2"/>
  <cols>
    <col min="1" max="1" width="19.5703125" style="30" customWidth="1"/>
    <col min="2" max="2" width="9.140625" style="30"/>
    <col min="3" max="3" width="12.85546875" style="30" customWidth="1"/>
    <col min="4" max="4" width="13.28515625" style="30" customWidth="1"/>
    <col min="5" max="6" width="13" style="30" customWidth="1"/>
    <col min="7" max="11" width="14.5703125" style="30" customWidth="1"/>
    <col min="12" max="12" width="10.42578125" style="30" bestFit="1" customWidth="1"/>
    <col min="13" max="13" width="11.42578125" style="30" bestFit="1" customWidth="1"/>
    <col min="14" max="16384" width="9.140625" style="30"/>
  </cols>
  <sheetData>
    <row r="1" spans="1:13" x14ac:dyDescent="0.2">
      <c r="A1" s="30" t="s">
        <v>303</v>
      </c>
    </row>
    <row r="3" spans="1:13" x14ac:dyDescent="0.2">
      <c r="A3" s="30" t="str">
        <f>'3.13.1'!H9</f>
        <v>0701 0210075880 622</v>
      </c>
    </row>
    <row r="4" spans="1:13" x14ac:dyDescent="0.2">
      <c r="A4" s="237" t="s">
        <v>221</v>
      </c>
      <c r="B4" s="237" t="s">
        <v>1</v>
      </c>
      <c r="C4" s="237" t="s">
        <v>304</v>
      </c>
      <c r="D4" s="237"/>
      <c r="E4" s="237"/>
      <c r="F4" s="237" t="s">
        <v>305</v>
      </c>
      <c r="G4" s="237"/>
      <c r="H4" s="237"/>
      <c r="I4" s="237" t="s">
        <v>116</v>
      </c>
      <c r="J4" s="237"/>
      <c r="K4" s="237"/>
    </row>
    <row r="5" spans="1:13" x14ac:dyDescent="0.2">
      <c r="A5" s="237"/>
      <c r="B5" s="237"/>
      <c r="C5" s="104" t="s">
        <v>353</v>
      </c>
      <c r="D5" s="104" t="s">
        <v>455</v>
      </c>
      <c r="E5" s="104" t="s">
        <v>508</v>
      </c>
      <c r="F5" s="104" t="s">
        <v>353</v>
      </c>
      <c r="G5" s="104" t="s">
        <v>455</v>
      </c>
      <c r="H5" s="104" t="s">
        <v>508</v>
      </c>
      <c r="I5" s="104" t="s">
        <v>353</v>
      </c>
      <c r="J5" s="104" t="s">
        <v>455</v>
      </c>
      <c r="K5" s="104" t="s">
        <v>508</v>
      </c>
    </row>
    <row r="6" spans="1:13" ht="38.25" x14ac:dyDescent="0.2">
      <c r="A6" s="237"/>
      <c r="B6" s="237"/>
      <c r="C6" s="104" t="s">
        <v>79</v>
      </c>
      <c r="D6" s="104" t="s">
        <v>80</v>
      </c>
      <c r="E6" s="104" t="s">
        <v>81</v>
      </c>
      <c r="F6" s="104" t="s">
        <v>79</v>
      </c>
      <c r="G6" s="104" t="s">
        <v>80</v>
      </c>
      <c r="H6" s="104" t="s">
        <v>81</v>
      </c>
      <c r="I6" s="104" t="s">
        <v>79</v>
      </c>
      <c r="J6" s="104" t="s">
        <v>80</v>
      </c>
      <c r="K6" s="104" t="s">
        <v>81</v>
      </c>
    </row>
    <row r="7" spans="1:13" x14ac:dyDescent="0.2">
      <c r="A7" s="104">
        <v>1</v>
      </c>
      <c r="B7" s="104">
        <v>2</v>
      </c>
      <c r="C7" s="104">
        <v>3</v>
      </c>
      <c r="D7" s="104">
        <v>4</v>
      </c>
      <c r="E7" s="104">
        <v>5</v>
      </c>
      <c r="F7" s="104">
        <v>6</v>
      </c>
      <c r="G7" s="104">
        <v>7</v>
      </c>
      <c r="H7" s="104">
        <v>8</v>
      </c>
      <c r="I7" s="104">
        <v>9</v>
      </c>
      <c r="J7" s="104">
        <v>10</v>
      </c>
      <c r="K7" s="104">
        <v>11</v>
      </c>
      <c r="L7" s="53" t="s">
        <v>434</v>
      </c>
      <c r="M7" s="53" t="s">
        <v>435</v>
      </c>
    </row>
    <row r="8" spans="1:13" ht="51" x14ac:dyDescent="0.2">
      <c r="A8" s="142" t="s">
        <v>375</v>
      </c>
      <c r="B8" s="104">
        <v>1</v>
      </c>
      <c r="C8" s="113">
        <v>1</v>
      </c>
      <c r="D8" s="113">
        <v>1</v>
      </c>
      <c r="E8" s="113">
        <v>1</v>
      </c>
      <c r="F8" s="114">
        <f t="shared" ref="F8:H10" si="0">I8/C8</f>
        <v>16000</v>
      </c>
      <c r="G8" s="114">
        <f t="shared" si="0"/>
        <v>16000</v>
      </c>
      <c r="H8" s="114">
        <f t="shared" si="0"/>
        <v>16000</v>
      </c>
      <c r="I8" s="114">
        <v>16000</v>
      </c>
      <c r="J8" s="114">
        <v>16000</v>
      </c>
      <c r="K8" s="114">
        <v>16000</v>
      </c>
      <c r="L8" s="54"/>
      <c r="M8" s="54">
        <f>I8-L8</f>
        <v>16000</v>
      </c>
    </row>
    <row r="9" spans="1:13" ht="25.5" x14ac:dyDescent="0.2">
      <c r="A9" s="142" t="s">
        <v>521</v>
      </c>
      <c r="B9" s="104">
        <f>B8+1</f>
        <v>2</v>
      </c>
      <c r="C9" s="113">
        <v>4</v>
      </c>
      <c r="D9" s="113">
        <v>1</v>
      </c>
      <c r="E9" s="113">
        <v>1</v>
      </c>
      <c r="F9" s="114">
        <f t="shared" si="0"/>
        <v>12500</v>
      </c>
      <c r="G9" s="114">
        <f t="shared" si="0"/>
        <v>50000</v>
      </c>
      <c r="H9" s="114">
        <f t="shared" si="0"/>
        <v>50000</v>
      </c>
      <c r="I9" s="114">
        <v>50000</v>
      </c>
      <c r="J9" s="114">
        <v>50000</v>
      </c>
      <c r="K9" s="114">
        <v>50000</v>
      </c>
      <c r="L9" s="54"/>
      <c r="M9" s="54">
        <f>I9-L9</f>
        <v>50000</v>
      </c>
    </row>
    <row r="10" spans="1:13" ht="63.75" x14ac:dyDescent="0.2">
      <c r="A10" s="142" t="s">
        <v>520</v>
      </c>
      <c r="B10" s="104">
        <f>B9+1</f>
        <v>3</v>
      </c>
      <c r="C10" s="113">
        <v>2</v>
      </c>
      <c r="D10" s="113">
        <v>1</v>
      </c>
      <c r="E10" s="113">
        <v>1</v>
      </c>
      <c r="F10" s="114">
        <f t="shared" si="0"/>
        <v>12000</v>
      </c>
      <c r="G10" s="114">
        <f t="shared" si="0"/>
        <v>24000</v>
      </c>
      <c r="H10" s="114">
        <f t="shared" si="0"/>
        <v>24000</v>
      </c>
      <c r="I10" s="114">
        <v>24000</v>
      </c>
      <c r="J10" s="114">
        <v>24000</v>
      </c>
      <c r="K10" s="114">
        <v>24000</v>
      </c>
      <c r="L10" s="54"/>
      <c r="M10" s="54">
        <f>I10-L10</f>
        <v>24000</v>
      </c>
    </row>
    <row r="11" spans="1:13" x14ac:dyDescent="0.2">
      <c r="A11" s="31" t="s">
        <v>136</v>
      </c>
      <c r="B11" s="104">
        <v>9000</v>
      </c>
      <c r="C11" s="104" t="s">
        <v>12</v>
      </c>
      <c r="D11" s="104" t="s">
        <v>12</v>
      </c>
      <c r="E11" s="104" t="s">
        <v>12</v>
      </c>
      <c r="F11" s="143" t="s">
        <v>12</v>
      </c>
      <c r="G11" s="143" t="s">
        <v>12</v>
      </c>
      <c r="H11" s="143" t="s">
        <v>12</v>
      </c>
      <c r="I11" s="32">
        <f>SUM(I8:I10)</f>
        <v>90000</v>
      </c>
      <c r="J11" s="32">
        <f>SUM(J8:J10)</f>
        <v>90000</v>
      </c>
      <c r="K11" s="32">
        <f>SUM(K8:K10)</f>
        <v>90000</v>
      </c>
      <c r="L11" s="55">
        <f>SUM(L8:L10)</f>
        <v>0</v>
      </c>
      <c r="M11" s="55">
        <f>SUM(M8:M10)</f>
        <v>90000</v>
      </c>
    </row>
    <row r="13" spans="1:13" x14ac:dyDescent="0.2">
      <c r="A13" s="30" t="str">
        <f>'3.13.1'!O9</f>
        <v>0701 4200099000 853                 (остаток на начало текущего финансового года)</v>
      </c>
    </row>
    <row r="14" spans="1:13" x14ac:dyDescent="0.2">
      <c r="A14" s="237" t="s">
        <v>221</v>
      </c>
      <c r="B14" s="237" t="s">
        <v>1</v>
      </c>
      <c r="C14" s="237" t="s">
        <v>304</v>
      </c>
      <c r="D14" s="237"/>
      <c r="E14" s="237"/>
      <c r="F14" s="237" t="s">
        <v>305</v>
      </c>
      <c r="G14" s="237"/>
      <c r="H14" s="237"/>
      <c r="I14" s="237" t="s">
        <v>116</v>
      </c>
      <c r="J14" s="237"/>
      <c r="K14" s="237"/>
    </row>
    <row r="15" spans="1:13" x14ac:dyDescent="0.2">
      <c r="A15" s="237"/>
      <c r="B15" s="237"/>
      <c r="C15" s="104" t="s">
        <v>353</v>
      </c>
      <c r="D15" s="104" t="s">
        <v>455</v>
      </c>
      <c r="E15" s="104" t="s">
        <v>508</v>
      </c>
      <c r="F15" s="104" t="s">
        <v>353</v>
      </c>
      <c r="G15" s="104" t="s">
        <v>455</v>
      </c>
      <c r="H15" s="104" t="s">
        <v>508</v>
      </c>
      <c r="I15" s="104" t="s">
        <v>353</v>
      </c>
      <c r="J15" s="104" t="s">
        <v>455</v>
      </c>
      <c r="K15" s="104" t="s">
        <v>508</v>
      </c>
    </row>
    <row r="16" spans="1:13" ht="38.25" x14ac:dyDescent="0.2">
      <c r="A16" s="237"/>
      <c r="B16" s="237"/>
      <c r="C16" s="104" t="s">
        <v>79</v>
      </c>
      <c r="D16" s="104" t="s">
        <v>80</v>
      </c>
      <c r="E16" s="104" t="s">
        <v>81</v>
      </c>
      <c r="F16" s="104" t="s">
        <v>79</v>
      </c>
      <c r="G16" s="104" t="s">
        <v>80</v>
      </c>
      <c r="H16" s="104" t="s">
        <v>81</v>
      </c>
      <c r="I16" s="104" t="s">
        <v>79</v>
      </c>
      <c r="J16" s="104" t="s">
        <v>80</v>
      </c>
      <c r="K16" s="104" t="s">
        <v>81</v>
      </c>
    </row>
    <row r="17" spans="1:13" x14ac:dyDescent="0.2">
      <c r="A17" s="104">
        <v>1</v>
      </c>
      <c r="B17" s="104">
        <v>2</v>
      </c>
      <c r="C17" s="104">
        <v>3</v>
      </c>
      <c r="D17" s="104">
        <v>4</v>
      </c>
      <c r="E17" s="104">
        <v>5</v>
      </c>
      <c r="F17" s="104">
        <v>6</v>
      </c>
      <c r="G17" s="104">
        <v>7</v>
      </c>
      <c r="H17" s="104">
        <v>8</v>
      </c>
      <c r="I17" s="104">
        <v>9</v>
      </c>
      <c r="J17" s="104">
        <v>10</v>
      </c>
      <c r="K17" s="104">
        <v>11</v>
      </c>
      <c r="L17" s="53" t="s">
        <v>434</v>
      </c>
      <c r="M17" s="53" t="s">
        <v>435</v>
      </c>
    </row>
    <row r="18" spans="1:13" x14ac:dyDescent="0.2">
      <c r="A18" s="129" t="s">
        <v>528</v>
      </c>
      <c r="B18" s="104">
        <v>1</v>
      </c>
      <c r="C18" s="113">
        <v>14</v>
      </c>
      <c r="D18" s="113">
        <v>0</v>
      </c>
      <c r="E18" s="113">
        <v>0</v>
      </c>
      <c r="F18" s="144">
        <f t="shared" ref="F18:F23" si="1">I18/C18</f>
        <v>20000</v>
      </c>
      <c r="G18" s="145">
        <v>0</v>
      </c>
      <c r="H18" s="145">
        <v>0</v>
      </c>
      <c r="I18" s="146">
        <v>280000</v>
      </c>
      <c r="J18" s="147">
        <v>0</v>
      </c>
      <c r="K18" s="147">
        <v>0</v>
      </c>
      <c r="L18" s="55"/>
      <c r="M18" s="54">
        <f t="shared" ref="M18:M23" si="2">I18-L18</f>
        <v>280000</v>
      </c>
    </row>
    <row r="19" spans="1:13" ht="25.5" x14ac:dyDescent="0.2">
      <c r="A19" s="129" t="s">
        <v>529</v>
      </c>
      <c r="B19" s="104">
        <f>B18+1</f>
        <v>2</v>
      </c>
      <c r="C19" s="113">
        <v>1</v>
      </c>
      <c r="D19" s="113">
        <v>0</v>
      </c>
      <c r="E19" s="113">
        <v>0</v>
      </c>
      <c r="F19" s="144">
        <f t="shared" si="1"/>
        <v>9000</v>
      </c>
      <c r="G19" s="145">
        <v>0</v>
      </c>
      <c r="H19" s="145">
        <v>0</v>
      </c>
      <c r="I19" s="146">
        <v>9000</v>
      </c>
      <c r="J19" s="147">
        <v>0</v>
      </c>
      <c r="K19" s="147">
        <v>0</v>
      </c>
      <c r="L19" s="55"/>
      <c r="M19" s="54">
        <f t="shared" si="2"/>
        <v>9000</v>
      </c>
    </row>
    <row r="20" spans="1:13" x14ac:dyDescent="0.2">
      <c r="A20" s="129" t="s">
        <v>502</v>
      </c>
      <c r="B20" s="104">
        <f>B19+1</f>
        <v>3</v>
      </c>
      <c r="C20" s="113">
        <v>2</v>
      </c>
      <c r="D20" s="113">
        <v>0</v>
      </c>
      <c r="E20" s="113">
        <v>0</v>
      </c>
      <c r="F20" s="144">
        <f t="shared" si="1"/>
        <v>5000</v>
      </c>
      <c r="G20" s="145">
        <v>0</v>
      </c>
      <c r="H20" s="145">
        <v>0</v>
      </c>
      <c r="I20" s="146">
        <v>10000</v>
      </c>
      <c r="J20" s="147">
        <v>0</v>
      </c>
      <c r="K20" s="147">
        <v>0</v>
      </c>
      <c r="L20" s="55"/>
      <c r="M20" s="54">
        <f t="shared" si="2"/>
        <v>10000</v>
      </c>
    </row>
    <row r="21" spans="1:13" x14ac:dyDescent="0.2">
      <c r="A21" s="129" t="s">
        <v>530</v>
      </c>
      <c r="B21" s="104">
        <f>B20+1</f>
        <v>4</v>
      </c>
      <c r="C21" s="113">
        <v>13</v>
      </c>
      <c r="D21" s="113">
        <v>0</v>
      </c>
      <c r="E21" s="113">
        <v>0</v>
      </c>
      <c r="F21" s="144">
        <f t="shared" si="1"/>
        <v>3076.9230769230771</v>
      </c>
      <c r="G21" s="145">
        <v>0</v>
      </c>
      <c r="H21" s="145">
        <v>0</v>
      </c>
      <c r="I21" s="146">
        <v>40000</v>
      </c>
      <c r="J21" s="147">
        <v>0</v>
      </c>
      <c r="K21" s="147">
        <v>0</v>
      </c>
      <c r="L21" s="55"/>
      <c r="M21" s="54">
        <f t="shared" si="2"/>
        <v>40000</v>
      </c>
    </row>
    <row r="22" spans="1:13" x14ac:dyDescent="0.2">
      <c r="A22" s="129" t="s">
        <v>531</v>
      </c>
      <c r="B22" s="104">
        <f>B21+1</f>
        <v>5</v>
      </c>
      <c r="C22" s="113">
        <v>1</v>
      </c>
      <c r="D22" s="113">
        <v>0</v>
      </c>
      <c r="E22" s="113">
        <v>0</v>
      </c>
      <c r="F22" s="144">
        <f t="shared" si="1"/>
        <v>50000</v>
      </c>
      <c r="G22" s="145">
        <v>0</v>
      </c>
      <c r="H22" s="145">
        <v>0</v>
      </c>
      <c r="I22" s="146">
        <v>50000</v>
      </c>
      <c r="J22" s="147">
        <v>0</v>
      </c>
      <c r="K22" s="147">
        <v>0</v>
      </c>
      <c r="L22" s="55"/>
      <c r="M22" s="54">
        <f t="shared" si="2"/>
        <v>50000</v>
      </c>
    </row>
    <row r="23" spans="1:13" x14ac:dyDescent="0.2">
      <c r="A23" s="129" t="s">
        <v>532</v>
      </c>
      <c r="B23" s="104">
        <f>B22+1</f>
        <v>6</v>
      </c>
      <c r="C23" s="113">
        <v>10</v>
      </c>
      <c r="D23" s="113">
        <v>0</v>
      </c>
      <c r="E23" s="113">
        <v>0</v>
      </c>
      <c r="F23" s="144">
        <f t="shared" si="1"/>
        <v>2652.172</v>
      </c>
      <c r="G23" s="145">
        <v>0</v>
      </c>
      <c r="H23" s="145">
        <v>0</v>
      </c>
      <c r="I23" s="146">
        <v>26521.72</v>
      </c>
      <c r="J23" s="147">
        <v>0</v>
      </c>
      <c r="K23" s="147">
        <v>0</v>
      </c>
      <c r="L23" s="55"/>
      <c r="M23" s="54">
        <f t="shared" si="2"/>
        <v>26521.72</v>
      </c>
    </row>
    <row r="24" spans="1:13" x14ac:dyDescent="0.2">
      <c r="A24" s="31" t="s">
        <v>136</v>
      </c>
      <c r="B24" s="104">
        <v>9000</v>
      </c>
      <c r="C24" s="104" t="s">
        <v>12</v>
      </c>
      <c r="D24" s="104" t="s">
        <v>12</v>
      </c>
      <c r="E24" s="104" t="s">
        <v>12</v>
      </c>
      <c r="F24" s="143" t="s">
        <v>12</v>
      </c>
      <c r="G24" s="143" t="s">
        <v>12</v>
      </c>
      <c r="H24" s="143" t="s">
        <v>12</v>
      </c>
      <c r="I24" s="32">
        <f>SUM(I18:I23)</f>
        <v>415521.72</v>
      </c>
      <c r="J24" s="32">
        <f>SUM(J18:J23)</f>
        <v>0</v>
      </c>
      <c r="K24" s="32">
        <f>SUM(K18:K23)</f>
        <v>0</v>
      </c>
      <c r="L24" s="55">
        <f>SUM(L18:L23)</f>
        <v>0</v>
      </c>
      <c r="M24" s="55">
        <f>SUM(M18:M23)</f>
        <v>415521.72</v>
      </c>
    </row>
    <row r="25" spans="1:13" x14ac:dyDescent="0.2">
      <c r="A25" s="133"/>
      <c r="B25" s="108"/>
      <c r="C25" s="108"/>
      <c r="D25" s="108"/>
      <c r="E25" s="108"/>
      <c r="F25" s="148"/>
      <c r="G25" s="148"/>
      <c r="H25" s="148"/>
      <c r="I25" s="134"/>
      <c r="J25" s="134"/>
      <c r="K25" s="134"/>
    </row>
    <row r="26" spans="1:13" x14ac:dyDescent="0.2">
      <c r="A26" s="30" t="str">
        <f>'3.13.1'!M9</f>
        <v>0701 4200099000 853</v>
      </c>
    </row>
    <row r="27" spans="1:13" x14ac:dyDescent="0.2">
      <c r="A27" s="237" t="s">
        <v>221</v>
      </c>
      <c r="B27" s="237" t="s">
        <v>1</v>
      </c>
      <c r="C27" s="237" t="s">
        <v>304</v>
      </c>
      <c r="D27" s="237"/>
      <c r="E27" s="237"/>
      <c r="F27" s="237" t="s">
        <v>305</v>
      </c>
      <c r="G27" s="237"/>
      <c r="H27" s="237"/>
      <c r="I27" s="237" t="s">
        <v>116</v>
      </c>
      <c r="J27" s="237"/>
      <c r="K27" s="237"/>
    </row>
    <row r="28" spans="1:13" x14ac:dyDescent="0.2">
      <c r="A28" s="237"/>
      <c r="B28" s="237"/>
      <c r="C28" s="104" t="s">
        <v>353</v>
      </c>
      <c r="D28" s="104" t="s">
        <v>455</v>
      </c>
      <c r="E28" s="104" t="s">
        <v>508</v>
      </c>
      <c r="F28" s="104" t="s">
        <v>353</v>
      </c>
      <c r="G28" s="104" t="s">
        <v>455</v>
      </c>
      <c r="H28" s="104" t="s">
        <v>508</v>
      </c>
      <c r="I28" s="104" t="s">
        <v>353</v>
      </c>
      <c r="J28" s="104" t="s">
        <v>455</v>
      </c>
      <c r="K28" s="104" t="s">
        <v>508</v>
      </c>
    </row>
    <row r="29" spans="1:13" ht="38.25" x14ac:dyDescent="0.2">
      <c r="A29" s="237"/>
      <c r="B29" s="237"/>
      <c r="C29" s="104" t="s">
        <v>79</v>
      </c>
      <c r="D29" s="104" t="s">
        <v>80</v>
      </c>
      <c r="E29" s="104" t="s">
        <v>81</v>
      </c>
      <c r="F29" s="104" t="s">
        <v>79</v>
      </c>
      <c r="G29" s="104" t="s">
        <v>80</v>
      </c>
      <c r="H29" s="104" t="s">
        <v>81</v>
      </c>
      <c r="I29" s="104" t="s">
        <v>79</v>
      </c>
      <c r="J29" s="104" t="s">
        <v>80</v>
      </c>
      <c r="K29" s="104" t="s">
        <v>81</v>
      </c>
    </row>
    <row r="30" spans="1:13" x14ac:dyDescent="0.2">
      <c r="A30" s="104">
        <v>1</v>
      </c>
      <c r="B30" s="104">
        <v>2</v>
      </c>
      <c r="C30" s="104">
        <v>3</v>
      </c>
      <c r="D30" s="104">
        <v>4</v>
      </c>
      <c r="E30" s="104">
        <v>5</v>
      </c>
      <c r="F30" s="104">
        <v>6</v>
      </c>
      <c r="G30" s="104">
        <v>7</v>
      </c>
      <c r="H30" s="104">
        <v>8</v>
      </c>
      <c r="I30" s="104">
        <v>9</v>
      </c>
      <c r="J30" s="104">
        <v>10</v>
      </c>
      <c r="K30" s="104">
        <v>11</v>
      </c>
      <c r="L30" s="53" t="s">
        <v>434</v>
      </c>
      <c r="M30" s="53" t="s">
        <v>435</v>
      </c>
    </row>
    <row r="31" spans="1:13" x14ac:dyDescent="0.2">
      <c r="A31" s="149" t="s">
        <v>437</v>
      </c>
      <c r="B31" s="104">
        <v>1</v>
      </c>
      <c r="C31" s="104">
        <v>7</v>
      </c>
      <c r="D31" s="104">
        <v>0</v>
      </c>
      <c r="E31" s="104">
        <v>0</v>
      </c>
      <c r="F31" s="33">
        <f>I31/C31</f>
        <v>5714.2857142857147</v>
      </c>
      <c r="G31" s="33">
        <v>0</v>
      </c>
      <c r="H31" s="33">
        <v>0</v>
      </c>
      <c r="I31" s="33">
        <v>40000</v>
      </c>
      <c r="J31" s="33">
        <v>0</v>
      </c>
      <c r="K31" s="33">
        <v>0</v>
      </c>
      <c r="L31" s="55"/>
      <c r="M31" s="54">
        <f>I31-L31</f>
        <v>40000</v>
      </c>
    </row>
    <row r="32" spans="1:13" x14ac:dyDescent="0.2">
      <c r="A32" s="149" t="s">
        <v>522</v>
      </c>
      <c r="B32" s="104">
        <f>B31+1</f>
        <v>2</v>
      </c>
      <c r="C32" s="104">
        <v>3</v>
      </c>
      <c r="D32" s="104">
        <v>0</v>
      </c>
      <c r="E32" s="104">
        <v>0</v>
      </c>
      <c r="F32" s="33">
        <f t="shared" ref="F32:F46" si="3">I32/C32</f>
        <v>1666.6666666666667</v>
      </c>
      <c r="G32" s="33">
        <v>0</v>
      </c>
      <c r="H32" s="33">
        <v>0</v>
      </c>
      <c r="I32" s="33">
        <v>5000</v>
      </c>
      <c r="J32" s="33">
        <v>0</v>
      </c>
      <c r="K32" s="33">
        <v>0</v>
      </c>
      <c r="L32" s="55"/>
      <c r="M32" s="54">
        <f t="shared" ref="M32:M53" si="4">I32-L32</f>
        <v>5000</v>
      </c>
    </row>
    <row r="33" spans="1:13" x14ac:dyDescent="0.2">
      <c r="A33" s="149" t="s">
        <v>523</v>
      </c>
      <c r="B33" s="104">
        <f t="shared" ref="B33:B53" si="5">B32+1</f>
        <v>3</v>
      </c>
      <c r="C33" s="104">
        <v>1</v>
      </c>
      <c r="D33" s="104">
        <v>0</v>
      </c>
      <c r="E33" s="104">
        <v>0</v>
      </c>
      <c r="F33" s="33">
        <f t="shared" si="3"/>
        <v>250000</v>
      </c>
      <c r="G33" s="33">
        <v>0</v>
      </c>
      <c r="H33" s="33">
        <v>0</v>
      </c>
      <c r="I33" s="147">
        <v>250000</v>
      </c>
      <c r="J33" s="33">
        <v>0</v>
      </c>
      <c r="K33" s="33">
        <v>0</v>
      </c>
      <c r="L33" s="55"/>
      <c r="M33" s="54">
        <f t="shared" si="4"/>
        <v>250000</v>
      </c>
    </row>
    <row r="34" spans="1:13" ht="25.5" x14ac:dyDescent="0.2">
      <c r="A34" s="149" t="s">
        <v>524</v>
      </c>
      <c r="B34" s="104">
        <f t="shared" si="5"/>
        <v>4</v>
      </c>
      <c r="C34" s="104">
        <v>1</v>
      </c>
      <c r="D34" s="104">
        <v>0</v>
      </c>
      <c r="E34" s="104">
        <v>0</v>
      </c>
      <c r="F34" s="33">
        <f t="shared" si="3"/>
        <v>40000</v>
      </c>
      <c r="G34" s="33">
        <v>0</v>
      </c>
      <c r="H34" s="33">
        <v>0</v>
      </c>
      <c r="I34" s="147">
        <v>40000</v>
      </c>
      <c r="J34" s="33">
        <v>0</v>
      </c>
      <c r="K34" s="33">
        <v>0</v>
      </c>
      <c r="L34" s="55"/>
      <c r="M34" s="54">
        <f t="shared" si="4"/>
        <v>40000</v>
      </c>
    </row>
    <row r="35" spans="1:13" ht="25.5" x14ac:dyDescent="0.2">
      <c r="A35" s="149" t="s">
        <v>525</v>
      </c>
      <c r="B35" s="104">
        <f t="shared" si="5"/>
        <v>5</v>
      </c>
      <c r="C35" s="104">
        <v>1</v>
      </c>
      <c r="D35" s="104">
        <v>0</v>
      </c>
      <c r="E35" s="104">
        <v>0</v>
      </c>
      <c r="F35" s="33">
        <f t="shared" si="3"/>
        <v>50000</v>
      </c>
      <c r="G35" s="33">
        <v>0</v>
      </c>
      <c r="H35" s="33">
        <v>0</v>
      </c>
      <c r="I35" s="147">
        <v>50000</v>
      </c>
      <c r="J35" s="33">
        <v>0</v>
      </c>
      <c r="K35" s="33">
        <v>0</v>
      </c>
      <c r="L35" s="55"/>
      <c r="M35" s="54">
        <f t="shared" si="4"/>
        <v>50000</v>
      </c>
    </row>
    <row r="36" spans="1:13" ht="25.5" x14ac:dyDescent="0.2">
      <c r="A36" s="129" t="s">
        <v>526</v>
      </c>
      <c r="B36" s="104">
        <f t="shared" si="5"/>
        <v>6</v>
      </c>
      <c r="C36" s="113">
        <v>4</v>
      </c>
      <c r="D36" s="104">
        <v>0</v>
      </c>
      <c r="E36" s="104">
        <v>0</v>
      </c>
      <c r="F36" s="33">
        <f t="shared" si="3"/>
        <v>7500</v>
      </c>
      <c r="G36" s="33">
        <v>0</v>
      </c>
      <c r="H36" s="33">
        <v>0</v>
      </c>
      <c r="I36" s="147">
        <v>30000</v>
      </c>
      <c r="J36" s="33">
        <v>0</v>
      </c>
      <c r="K36" s="33">
        <v>0</v>
      </c>
      <c r="L36" s="55"/>
      <c r="M36" s="54">
        <f t="shared" si="4"/>
        <v>30000</v>
      </c>
    </row>
    <row r="37" spans="1:13" x14ac:dyDescent="0.2">
      <c r="A37" s="129" t="s">
        <v>527</v>
      </c>
      <c r="B37" s="104">
        <f t="shared" si="5"/>
        <v>7</v>
      </c>
      <c r="C37" s="113">
        <v>1</v>
      </c>
      <c r="D37" s="104">
        <v>0</v>
      </c>
      <c r="E37" s="104">
        <v>0</v>
      </c>
      <c r="F37" s="33">
        <f t="shared" si="3"/>
        <v>87422.5</v>
      </c>
      <c r="G37" s="33">
        <v>0</v>
      </c>
      <c r="H37" s="33">
        <v>0</v>
      </c>
      <c r="I37" s="147">
        <v>87422.5</v>
      </c>
      <c r="J37" s="33">
        <v>0</v>
      </c>
      <c r="K37" s="33">
        <v>0</v>
      </c>
      <c r="L37" s="55"/>
      <c r="M37" s="54">
        <f t="shared" si="4"/>
        <v>87422.5</v>
      </c>
    </row>
    <row r="38" spans="1:13" ht="38.25" x14ac:dyDescent="0.2">
      <c r="A38" s="129" t="s">
        <v>457</v>
      </c>
      <c r="B38" s="104">
        <f t="shared" si="5"/>
        <v>8</v>
      </c>
      <c r="C38" s="113">
        <v>1</v>
      </c>
      <c r="D38" s="113">
        <v>0</v>
      </c>
      <c r="E38" s="113">
        <v>0</v>
      </c>
      <c r="F38" s="33">
        <f t="shared" si="3"/>
        <v>50000</v>
      </c>
      <c r="G38" s="145">
        <v>0</v>
      </c>
      <c r="H38" s="145">
        <v>0</v>
      </c>
      <c r="I38" s="146">
        <v>50000</v>
      </c>
      <c r="J38" s="147">
        <v>0</v>
      </c>
      <c r="K38" s="147">
        <v>0</v>
      </c>
      <c r="L38" s="55"/>
      <c r="M38" s="54">
        <f>I38-L38</f>
        <v>50000</v>
      </c>
    </row>
    <row r="39" spans="1:13" x14ac:dyDescent="0.2">
      <c r="A39" s="129" t="s">
        <v>535</v>
      </c>
      <c r="B39" s="104">
        <f t="shared" si="5"/>
        <v>9</v>
      </c>
      <c r="C39" s="113">
        <v>0</v>
      </c>
      <c r="D39" s="113">
        <v>0</v>
      </c>
      <c r="E39" s="113">
        <v>3</v>
      </c>
      <c r="F39" s="33">
        <v>0</v>
      </c>
      <c r="G39" s="33">
        <v>0</v>
      </c>
      <c r="H39" s="33">
        <f>K39/E39</f>
        <v>100000</v>
      </c>
      <c r="I39" s="147">
        <v>0</v>
      </c>
      <c r="J39" s="147">
        <v>0</v>
      </c>
      <c r="K39" s="147">
        <v>300000</v>
      </c>
      <c r="L39" s="55"/>
      <c r="M39" s="54">
        <f t="shared" si="4"/>
        <v>0</v>
      </c>
    </row>
    <row r="40" spans="1:13" x14ac:dyDescent="0.2">
      <c r="A40" s="129" t="s">
        <v>438</v>
      </c>
      <c r="B40" s="104">
        <f t="shared" si="5"/>
        <v>10</v>
      </c>
      <c r="C40" s="113">
        <v>0</v>
      </c>
      <c r="D40" s="113">
        <v>0</v>
      </c>
      <c r="E40" s="113">
        <v>8</v>
      </c>
      <c r="F40" s="33">
        <v>0</v>
      </c>
      <c r="G40" s="33">
        <v>0</v>
      </c>
      <c r="H40" s="33">
        <f>K40/E40</f>
        <v>53255.125</v>
      </c>
      <c r="I40" s="147">
        <v>0</v>
      </c>
      <c r="J40" s="147">
        <v>0</v>
      </c>
      <c r="K40" s="147">
        <f>1025839.06-599798.06</f>
        <v>426041</v>
      </c>
      <c r="L40" s="55"/>
      <c r="M40" s="54">
        <f t="shared" si="4"/>
        <v>0</v>
      </c>
    </row>
    <row r="41" spans="1:13" hidden="1" x14ac:dyDescent="0.2">
      <c r="A41" s="129"/>
      <c r="B41" s="104">
        <f t="shared" si="5"/>
        <v>11</v>
      </c>
      <c r="C41" s="113">
        <v>36</v>
      </c>
      <c r="D41" s="113">
        <v>0</v>
      </c>
      <c r="E41" s="113">
        <v>0</v>
      </c>
      <c r="F41" s="33">
        <f t="shared" si="3"/>
        <v>0</v>
      </c>
      <c r="G41" s="33">
        <v>0</v>
      </c>
      <c r="H41" s="33">
        <v>0</v>
      </c>
      <c r="I41" s="147"/>
      <c r="J41" s="147"/>
      <c r="K41" s="147">
        <v>0</v>
      </c>
      <c r="L41" s="54"/>
      <c r="M41" s="54">
        <f t="shared" si="4"/>
        <v>0</v>
      </c>
    </row>
    <row r="42" spans="1:13" hidden="1" x14ac:dyDescent="0.2">
      <c r="A42" s="129"/>
      <c r="B42" s="104">
        <f t="shared" si="5"/>
        <v>12</v>
      </c>
      <c r="C42" s="113">
        <v>4</v>
      </c>
      <c r="D42" s="113">
        <v>0</v>
      </c>
      <c r="E42" s="113">
        <v>0</v>
      </c>
      <c r="F42" s="33">
        <f t="shared" si="3"/>
        <v>0</v>
      </c>
      <c r="G42" s="33">
        <v>0</v>
      </c>
      <c r="H42" s="33">
        <v>0</v>
      </c>
      <c r="I42" s="147"/>
      <c r="J42" s="147"/>
      <c r="K42" s="147">
        <v>0</v>
      </c>
      <c r="L42" s="54"/>
      <c r="M42" s="54">
        <f t="shared" si="4"/>
        <v>0</v>
      </c>
    </row>
    <row r="43" spans="1:13" hidden="1" x14ac:dyDescent="0.2">
      <c r="A43" s="129"/>
      <c r="B43" s="104">
        <f t="shared" si="5"/>
        <v>13</v>
      </c>
      <c r="C43" s="113">
        <v>2</v>
      </c>
      <c r="D43" s="113">
        <v>0</v>
      </c>
      <c r="E43" s="113">
        <v>0</v>
      </c>
      <c r="F43" s="33">
        <f t="shared" si="3"/>
        <v>0</v>
      </c>
      <c r="G43" s="33">
        <v>0</v>
      </c>
      <c r="H43" s="33">
        <v>0</v>
      </c>
      <c r="I43" s="147"/>
      <c r="J43" s="147"/>
      <c r="K43" s="147">
        <v>0</v>
      </c>
      <c r="L43" s="55"/>
      <c r="M43" s="54">
        <f t="shared" si="4"/>
        <v>0</v>
      </c>
    </row>
    <row r="44" spans="1:13" hidden="1" x14ac:dyDescent="0.2">
      <c r="A44" s="129"/>
      <c r="B44" s="104">
        <f t="shared" si="5"/>
        <v>14</v>
      </c>
      <c r="C44" s="113">
        <v>1</v>
      </c>
      <c r="D44" s="113">
        <v>0</v>
      </c>
      <c r="E44" s="113">
        <v>0</v>
      </c>
      <c r="F44" s="33">
        <f t="shared" si="3"/>
        <v>0</v>
      </c>
      <c r="G44" s="33">
        <v>0</v>
      </c>
      <c r="H44" s="33">
        <v>0</v>
      </c>
      <c r="I44" s="147"/>
      <c r="J44" s="147"/>
      <c r="K44" s="147">
        <v>0</v>
      </c>
      <c r="L44" s="55"/>
      <c r="M44" s="54">
        <f t="shared" si="4"/>
        <v>0</v>
      </c>
    </row>
    <row r="45" spans="1:13" hidden="1" x14ac:dyDescent="0.2">
      <c r="A45" s="129"/>
      <c r="B45" s="104">
        <f t="shared" si="5"/>
        <v>15</v>
      </c>
      <c r="C45" s="113">
        <v>8</v>
      </c>
      <c r="D45" s="113">
        <v>0</v>
      </c>
      <c r="E45" s="113">
        <v>0</v>
      </c>
      <c r="F45" s="33">
        <f t="shared" si="3"/>
        <v>0</v>
      </c>
      <c r="G45" s="33">
        <v>0</v>
      </c>
      <c r="H45" s="33">
        <v>0</v>
      </c>
      <c r="I45" s="147"/>
      <c r="J45" s="147"/>
      <c r="K45" s="147">
        <v>0</v>
      </c>
      <c r="L45" s="54"/>
      <c r="M45" s="54">
        <f t="shared" si="4"/>
        <v>0</v>
      </c>
    </row>
    <row r="46" spans="1:13" hidden="1" x14ac:dyDescent="0.2">
      <c r="A46" s="129"/>
      <c r="B46" s="104">
        <f t="shared" si="5"/>
        <v>16</v>
      </c>
      <c r="C46" s="113">
        <v>1</v>
      </c>
      <c r="D46" s="113">
        <v>0</v>
      </c>
      <c r="E46" s="113">
        <v>0</v>
      </c>
      <c r="F46" s="33">
        <f t="shared" si="3"/>
        <v>0</v>
      </c>
      <c r="G46" s="33">
        <v>0</v>
      </c>
      <c r="H46" s="33">
        <v>0</v>
      </c>
      <c r="I46" s="147"/>
      <c r="J46" s="147"/>
      <c r="K46" s="147">
        <v>0</v>
      </c>
      <c r="L46" s="55"/>
      <c r="M46" s="54">
        <f t="shared" si="4"/>
        <v>0</v>
      </c>
    </row>
    <row r="47" spans="1:13" hidden="1" x14ac:dyDescent="0.2">
      <c r="A47" s="129"/>
      <c r="B47" s="104">
        <f t="shared" si="5"/>
        <v>17</v>
      </c>
      <c r="C47" s="113">
        <v>0</v>
      </c>
      <c r="D47" s="113">
        <v>3</v>
      </c>
      <c r="E47" s="113">
        <v>0</v>
      </c>
      <c r="F47" s="33">
        <v>0</v>
      </c>
      <c r="G47" s="33">
        <f>J47/D47</f>
        <v>0</v>
      </c>
      <c r="H47" s="33">
        <v>0</v>
      </c>
      <c r="I47" s="147"/>
      <c r="J47" s="147"/>
      <c r="K47" s="147">
        <v>0</v>
      </c>
      <c r="L47" s="54"/>
      <c r="M47" s="54">
        <f t="shared" si="4"/>
        <v>0</v>
      </c>
    </row>
    <row r="48" spans="1:13" hidden="1" x14ac:dyDescent="0.2">
      <c r="A48" s="129"/>
      <c r="B48" s="104">
        <f t="shared" si="5"/>
        <v>18</v>
      </c>
      <c r="C48" s="113">
        <v>0</v>
      </c>
      <c r="D48" s="113">
        <v>2</v>
      </c>
      <c r="E48" s="113">
        <v>0</v>
      </c>
      <c r="F48" s="33">
        <v>0</v>
      </c>
      <c r="G48" s="33">
        <f t="shared" ref="G48:G53" si="6">J48/D48</f>
        <v>0</v>
      </c>
      <c r="H48" s="33">
        <v>0</v>
      </c>
      <c r="I48" s="147"/>
      <c r="J48" s="147"/>
      <c r="K48" s="147">
        <v>0</v>
      </c>
      <c r="L48" s="54"/>
      <c r="M48" s="54">
        <f t="shared" si="4"/>
        <v>0</v>
      </c>
    </row>
    <row r="49" spans="1:14" hidden="1" x14ac:dyDescent="0.2">
      <c r="A49" s="129"/>
      <c r="B49" s="104">
        <f t="shared" si="5"/>
        <v>19</v>
      </c>
      <c r="C49" s="113">
        <v>0</v>
      </c>
      <c r="D49" s="113">
        <v>1</v>
      </c>
      <c r="E49" s="113">
        <v>0</v>
      </c>
      <c r="F49" s="33">
        <v>0</v>
      </c>
      <c r="G49" s="33">
        <f t="shared" si="6"/>
        <v>0</v>
      </c>
      <c r="H49" s="33">
        <v>0</v>
      </c>
      <c r="I49" s="147"/>
      <c r="J49" s="147"/>
      <c r="K49" s="147">
        <v>0</v>
      </c>
      <c r="L49" s="54"/>
      <c r="M49" s="54">
        <f t="shared" si="4"/>
        <v>0</v>
      </c>
    </row>
    <row r="50" spans="1:14" hidden="1" x14ac:dyDescent="0.2">
      <c r="A50" s="129"/>
      <c r="B50" s="104">
        <f t="shared" si="5"/>
        <v>20</v>
      </c>
      <c r="C50" s="113">
        <v>0</v>
      </c>
      <c r="D50" s="113">
        <v>55.5</v>
      </c>
      <c r="E50" s="113">
        <v>0</v>
      </c>
      <c r="F50" s="33">
        <v>0</v>
      </c>
      <c r="G50" s="33">
        <f t="shared" si="6"/>
        <v>0</v>
      </c>
      <c r="H50" s="33">
        <v>0</v>
      </c>
      <c r="I50" s="147"/>
      <c r="J50" s="147"/>
      <c r="K50" s="147">
        <v>0</v>
      </c>
      <c r="L50" s="54"/>
      <c r="M50" s="54">
        <f t="shared" si="4"/>
        <v>0</v>
      </c>
    </row>
    <row r="51" spans="1:14" hidden="1" x14ac:dyDescent="0.2">
      <c r="A51" s="129"/>
      <c r="B51" s="104">
        <f t="shared" si="5"/>
        <v>21</v>
      </c>
      <c r="C51" s="113">
        <v>0</v>
      </c>
      <c r="D51" s="113">
        <v>1</v>
      </c>
      <c r="E51" s="113">
        <v>0</v>
      </c>
      <c r="F51" s="33">
        <v>0</v>
      </c>
      <c r="G51" s="33">
        <f t="shared" si="6"/>
        <v>0</v>
      </c>
      <c r="H51" s="33">
        <v>0</v>
      </c>
      <c r="I51" s="147"/>
      <c r="J51" s="147"/>
      <c r="K51" s="147">
        <v>0</v>
      </c>
      <c r="L51" s="54"/>
      <c r="M51" s="54">
        <f t="shared" si="4"/>
        <v>0</v>
      </c>
    </row>
    <row r="52" spans="1:14" hidden="1" x14ac:dyDescent="0.2">
      <c r="A52" s="129"/>
      <c r="B52" s="104">
        <f t="shared" si="5"/>
        <v>22</v>
      </c>
      <c r="C52" s="113">
        <v>0</v>
      </c>
      <c r="D52" s="113">
        <v>2</v>
      </c>
      <c r="E52" s="113">
        <v>0</v>
      </c>
      <c r="F52" s="33">
        <v>0</v>
      </c>
      <c r="G52" s="33">
        <f t="shared" si="6"/>
        <v>0</v>
      </c>
      <c r="H52" s="33">
        <v>0</v>
      </c>
      <c r="I52" s="147"/>
      <c r="J52" s="147"/>
      <c r="K52" s="147">
        <v>0</v>
      </c>
      <c r="L52" s="54"/>
      <c r="M52" s="54">
        <f t="shared" si="4"/>
        <v>0</v>
      </c>
    </row>
    <row r="53" spans="1:14" hidden="1" x14ac:dyDescent="0.2">
      <c r="A53" s="129"/>
      <c r="B53" s="104">
        <f t="shared" si="5"/>
        <v>23</v>
      </c>
      <c r="C53" s="113">
        <v>0</v>
      </c>
      <c r="D53" s="113">
        <v>8</v>
      </c>
      <c r="E53" s="113">
        <v>0</v>
      </c>
      <c r="F53" s="33">
        <v>0</v>
      </c>
      <c r="G53" s="33">
        <f t="shared" si="6"/>
        <v>0</v>
      </c>
      <c r="H53" s="33">
        <v>0</v>
      </c>
      <c r="I53" s="147"/>
      <c r="J53" s="147"/>
      <c r="K53" s="147">
        <v>0</v>
      </c>
      <c r="L53" s="54"/>
      <c r="M53" s="54">
        <f t="shared" si="4"/>
        <v>0</v>
      </c>
    </row>
    <row r="54" spans="1:14" x14ac:dyDescent="0.2">
      <c r="A54" s="31" t="s">
        <v>136</v>
      </c>
      <c r="B54" s="104">
        <v>9000</v>
      </c>
      <c r="C54" s="104" t="s">
        <v>12</v>
      </c>
      <c r="D54" s="104" t="s">
        <v>12</v>
      </c>
      <c r="E54" s="104" t="s">
        <v>12</v>
      </c>
      <c r="F54" s="51" t="s">
        <v>12</v>
      </c>
      <c r="G54" s="51" t="s">
        <v>12</v>
      </c>
      <c r="H54" s="51" t="s">
        <v>12</v>
      </c>
      <c r="I54" s="150">
        <f>SUM(I31:I53)</f>
        <v>552422.5</v>
      </c>
      <c r="J54" s="150">
        <f>SUM(J31:J53)</f>
        <v>0</v>
      </c>
      <c r="K54" s="150">
        <f>SUM(K31:K53)</f>
        <v>726041</v>
      </c>
      <c r="L54" s="132">
        <f>SUM(L31:L53)</f>
        <v>0</v>
      </c>
      <c r="M54" s="132">
        <f>SUM(M31:M53)</f>
        <v>552422.5</v>
      </c>
    </row>
    <row r="55" spans="1:14" hidden="1" x14ac:dyDescent="0.2">
      <c r="L55" s="56">
        <f>L24+L54</f>
        <v>0</v>
      </c>
      <c r="M55" s="56">
        <f>M54+M24</f>
        <v>967944.22</v>
      </c>
      <c r="N55" s="140"/>
    </row>
    <row r="56" spans="1:14" hidden="1" x14ac:dyDescent="0.2">
      <c r="A56" s="95" t="str">
        <f>'3.13.1'!E9</f>
        <v>0701 0210080610 622</v>
      </c>
      <c r="L56" s="140"/>
      <c r="M56" s="140"/>
      <c r="N56" s="140"/>
    </row>
    <row r="57" spans="1:14" hidden="1" x14ac:dyDescent="0.2">
      <c r="A57" s="237" t="s">
        <v>221</v>
      </c>
      <c r="B57" s="237" t="s">
        <v>1</v>
      </c>
      <c r="C57" s="237" t="s">
        <v>304</v>
      </c>
      <c r="D57" s="237"/>
      <c r="E57" s="237"/>
      <c r="F57" s="237" t="s">
        <v>305</v>
      </c>
      <c r="G57" s="237"/>
      <c r="H57" s="237"/>
      <c r="I57" s="237" t="s">
        <v>116</v>
      </c>
      <c r="J57" s="237"/>
      <c r="K57" s="251"/>
      <c r="L57" s="140"/>
      <c r="M57" s="140"/>
      <c r="N57" s="140"/>
    </row>
    <row r="58" spans="1:14" hidden="1" x14ac:dyDescent="0.2">
      <c r="A58" s="237"/>
      <c r="B58" s="237"/>
      <c r="C58" s="104" t="s">
        <v>353</v>
      </c>
      <c r="D58" s="104" t="s">
        <v>455</v>
      </c>
      <c r="E58" s="104" t="s">
        <v>508</v>
      </c>
      <c r="F58" s="104" t="s">
        <v>353</v>
      </c>
      <c r="G58" s="104" t="s">
        <v>455</v>
      </c>
      <c r="H58" s="104" t="s">
        <v>508</v>
      </c>
      <c r="I58" s="104" t="s">
        <v>353</v>
      </c>
      <c r="J58" s="104" t="s">
        <v>455</v>
      </c>
      <c r="K58" s="104" t="s">
        <v>508</v>
      </c>
    </row>
    <row r="59" spans="1:14" ht="38.25" hidden="1" x14ac:dyDescent="0.2">
      <c r="A59" s="237"/>
      <c r="B59" s="237"/>
      <c r="C59" s="104" t="s">
        <v>79</v>
      </c>
      <c r="D59" s="104" t="s">
        <v>80</v>
      </c>
      <c r="E59" s="104" t="s">
        <v>81</v>
      </c>
      <c r="F59" s="104" t="s">
        <v>79</v>
      </c>
      <c r="G59" s="104" t="s">
        <v>80</v>
      </c>
      <c r="H59" s="104" t="s">
        <v>81</v>
      </c>
      <c r="I59" s="104" t="s">
        <v>79</v>
      </c>
      <c r="J59" s="104" t="s">
        <v>80</v>
      </c>
      <c r="K59" s="104" t="s">
        <v>81</v>
      </c>
    </row>
    <row r="60" spans="1:14" hidden="1" x14ac:dyDescent="0.2">
      <c r="A60" s="104">
        <v>1</v>
      </c>
      <c r="B60" s="104">
        <v>2</v>
      </c>
      <c r="C60" s="104">
        <v>3</v>
      </c>
      <c r="D60" s="104">
        <v>4</v>
      </c>
      <c r="E60" s="104">
        <v>5</v>
      </c>
      <c r="F60" s="104">
        <v>6</v>
      </c>
      <c r="G60" s="104">
        <v>7</v>
      </c>
      <c r="H60" s="104">
        <v>8</v>
      </c>
      <c r="I60" s="104">
        <v>9</v>
      </c>
      <c r="J60" s="104">
        <v>10</v>
      </c>
      <c r="K60" s="104">
        <v>11</v>
      </c>
      <c r="L60" s="53" t="s">
        <v>434</v>
      </c>
      <c r="M60" s="53" t="s">
        <v>435</v>
      </c>
    </row>
    <row r="61" spans="1:14" ht="18" hidden="1" customHeight="1" x14ac:dyDescent="0.2">
      <c r="A61" s="129"/>
      <c r="B61" s="104">
        <v>1</v>
      </c>
      <c r="C61" s="113">
        <v>1</v>
      </c>
      <c r="D61" s="113">
        <v>0</v>
      </c>
      <c r="E61" s="113">
        <v>0</v>
      </c>
      <c r="F61" s="144">
        <v>14500</v>
      </c>
      <c r="G61" s="145">
        <v>0</v>
      </c>
      <c r="H61" s="145">
        <v>0</v>
      </c>
      <c r="I61" s="146"/>
      <c r="J61" s="147">
        <f>G61*D61</f>
        <v>0</v>
      </c>
      <c r="K61" s="147">
        <f>H61*E61</f>
        <v>0</v>
      </c>
      <c r="L61" s="54"/>
      <c r="M61" s="54">
        <f>I61-L61</f>
        <v>0</v>
      </c>
    </row>
    <row r="62" spans="1:14" ht="25.5" hidden="1" customHeight="1" x14ac:dyDescent="0.2">
      <c r="A62" s="129"/>
      <c r="B62" s="104">
        <f>B61+1</f>
        <v>2</v>
      </c>
      <c r="C62" s="113">
        <v>1</v>
      </c>
      <c r="D62" s="113">
        <v>0</v>
      </c>
      <c r="E62" s="113">
        <v>0</v>
      </c>
      <c r="F62" s="144">
        <v>45000</v>
      </c>
      <c r="G62" s="145">
        <v>0</v>
      </c>
      <c r="H62" s="145">
        <v>0</v>
      </c>
      <c r="I62" s="146"/>
      <c r="J62" s="147">
        <f>G62*D62</f>
        <v>0</v>
      </c>
      <c r="K62" s="147">
        <f>H62*E62</f>
        <v>0</v>
      </c>
      <c r="L62" s="54"/>
      <c r="M62" s="54">
        <f>I62-L62</f>
        <v>0</v>
      </c>
    </row>
    <row r="63" spans="1:14" ht="25.5" hidden="1" customHeight="1" x14ac:dyDescent="0.2">
      <c r="A63" s="129"/>
      <c r="B63" s="104">
        <f>B62+1</f>
        <v>3</v>
      </c>
      <c r="C63" s="113">
        <v>3</v>
      </c>
      <c r="D63" s="113">
        <v>0</v>
      </c>
      <c r="E63" s="113">
        <v>0</v>
      </c>
      <c r="F63" s="144">
        <f>I63/C63</f>
        <v>0</v>
      </c>
      <c r="G63" s="145">
        <v>0</v>
      </c>
      <c r="H63" s="145">
        <v>0</v>
      </c>
      <c r="I63" s="146"/>
      <c r="J63" s="147">
        <v>0</v>
      </c>
      <c r="K63" s="147">
        <v>0</v>
      </c>
      <c r="L63" s="54"/>
      <c r="M63" s="54">
        <f>I63-L63</f>
        <v>0</v>
      </c>
    </row>
    <row r="64" spans="1:14" ht="25.5" hidden="1" customHeight="1" x14ac:dyDescent="0.2">
      <c r="A64" s="129"/>
      <c r="B64" s="104">
        <f>B63+1</f>
        <v>4</v>
      </c>
      <c r="C64" s="113">
        <v>16</v>
      </c>
      <c r="D64" s="113">
        <v>0</v>
      </c>
      <c r="E64" s="113">
        <v>0</v>
      </c>
      <c r="F64" s="144">
        <f>I64/C64</f>
        <v>0</v>
      </c>
      <c r="G64" s="145">
        <v>0</v>
      </c>
      <c r="H64" s="145">
        <v>0</v>
      </c>
      <c r="I64" s="146"/>
      <c r="J64" s="147">
        <f>G64*D64</f>
        <v>0</v>
      </c>
      <c r="K64" s="147">
        <f>H64*E64</f>
        <v>0</v>
      </c>
      <c r="L64" s="54"/>
      <c r="M64" s="54">
        <f>I64-L64</f>
        <v>0</v>
      </c>
    </row>
    <row r="65" spans="1:14" ht="27.75" hidden="1" customHeight="1" x14ac:dyDescent="0.2">
      <c r="A65" s="129"/>
      <c r="B65" s="104">
        <f>B64+1</f>
        <v>5</v>
      </c>
      <c r="C65" s="113">
        <v>10</v>
      </c>
      <c r="D65" s="113">
        <v>0</v>
      </c>
      <c r="E65" s="113">
        <v>0</v>
      </c>
      <c r="F65" s="144">
        <v>2850</v>
      </c>
      <c r="G65" s="145">
        <v>0</v>
      </c>
      <c r="H65" s="145">
        <v>0</v>
      </c>
      <c r="I65" s="146"/>
      <c r="J65" s="147">
        <f>G65*D65</f>
        <v>0</v>
      </c>
      <c r="K65" s="147">
        <f>H65*E65</f>
        <v>0</v>
      </c>
      <c r="L65" s="54"/>
      <c r="M65" s="54">
        <f>I65-L65</f>
        <v>0</v>
      </c>
    </row>
    <row r="66" spans="1:14" hidden="1" x14ac:dyDescent="0.2">
      <c r="A66" s="31" t="s">
        <v>136</v>
      </c>
      <c r="B66" s="104">
        <v>9000</v>
      </c>
      <c r="C66" s="104" t="s">
        <v>12</v>
      </c>
      <c r="D66" s="104" t="s">
        <v>12</v>
      </c>
      <c r="E66" s="104" t="s">
        <v>12</v>
      </c>
      <c r="F66" s="143" t="s">
        <v>12</v>
      </c>
      <c r="G66" s="143" t="s">
        <v>12</v>
      </c>
      <c r="H66" s="143" t="s">
        <v>12</v>
      </c>
      <c r="I66" s="32">
        <f>SUM(I61:I65)</f>
        <v>0</v>
      </c>
      <c r="J66" s="32">
        <f>SUM(J61:J65)</f>
        <v>0</v>
      </c>
      <c r="K66" s="32">
        <f>SUM(K61:K65)</f>
        <v>0</v>
      </c>
      <c r="L66" s="55">
        <f>SUM(L61:L65)</f>
        <v>0</v>
      </c>
      <c r="M66" s="55">
        <f>SUM(M61:M65)</f>
        <v>0</v>
      </c>
    </row>
    <row r="67" spans="1:14" hidden="1" x14ac:dyDescent="0.2">
      <c r="A67" s="133"/>
      <c r="B67" s="108"/>
      <c r="C67" s="108"/>
      <c r="D67" s="108"/>
      <c r="E67" s="108"/>
      <c r="F67" s="148"/>
      <c r="G67" s="148"/>
      <c r="H67" s="148"/>
      <c r="I67" s="134"/>
      <c r="J67" s="134"/>
      <c r="K67" s="134"/>
      <c r="L67" s="138"/>
      <c r="M67" s="138"/>
    </row>
    <row r="68" spans="1:14" hidden="1" x14ac:dyDescent="0.2">
      <c r="A68" s="151" t="str">
        <f>'3.13.1'!F9</f>
        <v>0701 021R373980 622</v>
      </c>
      <c r="B68" s="108"/>
      <c r="C68" s="108"/>
      <c r="D68" s="108"/>
      <c r="E68" s="108"/>
      <c r="F68" s="148"/>
      <c r="G68" s="148"/>
      <c r="H68" s="148"/>
      <c r="I68" s="134"/>
      <c r="J68" s="134"/>
      <c r="K68" s="134"/>
      <c r="L68" s="138"/>
      <c r="M68" s="138"/>
    </row>
    <row r="69" spans="1:14" hidden="1" x14ac:dyDescent="0.2">
      <c r="A69" s="237" t="s">
        <v>221</v>
      </c>
      <c r="B69" s="237" t="s">
        <v>1</v>
      </c>
      <c r="C69" s="237" t="s">
        <v>304</v>
      </c>
      <c r="D69" s="237"/>
      <c r="E69" s="237"/>
      <c r="F69" s="237" t="s">
        <v>305</v>
      </c>
      <c r="G69" s="237"/>
      <c r="H69" s="237"/>
      <c r="I69" s="237" t="s">
        <v>116</v>
      </c>
      <c r="J69" s="237"/>
      <c r="K69" s="251"/>
      <c r="L69" s="140"/>
      <c r="M69" s="140"/>
      <c r="N69" s="140"/>
    </row>
    <row r="70" spans="1:14" hidden="1" x14ac:dyDescent="0.2">
      <c r="A70" s="237"/>
      <c r="B70" s="237"/>
      <c r="C70" s="104" t="s">
        <v>353</v>
      </c>
      <c r="D70" s="104" t="s">
        <v>455</v>
      </c>
      <c r="E70" s="104" t="s">
        <v>508</v>
      </c>
      <c r="F70" s="104" t="s">
        <v>353</v>
      </c>
      <c r="G70" s="104" t="s">
        <v>455</v>
      </c>
      <c r="H70" s="104" t="s">
        <v>508</v>
      </c>
      <c r="I70" s="104" t="s">
        <v>353</v>
      </c>
      <c r="J70" s="104" t="s">
        <v>455</v>
      </c>
      <c r="K70" s="104" t="s">
        <v>508</v>
      </c>
    </row>
    <row r="71" spans="1:14" ht="38.25" hidden="1" x14ac:dyDescent="0.2">
      <c r="A71" s="237"/>
      <c r="B71" s="237"/>
      <c r="C71" s="104" t="s">
        <v>79</v>
      </c>
      <c r="D71" s="104" t="s">
        <v>80</v>
      </c>
      <c r="E71" s="104" t="s">
        <v>81</v>
      </c>
      <c r="F71" s="104" t="s">
        <v>79</v>
      </c>
      <c r="G71" s="104" t="s">
        <v>80</v>
      </c>
      <c r="H71" s="104" t="s">
        <v>81</v>
      </c>
      <c r="I71" s="104" t="s">
        <v>79</v>
      </c>
      <c r="J71" s="104" t="s">
        <v>80</v>
      </c>
      <c r="K71" s="104" t="s">
        <v>81</v>
      </c>
    </row>
    <row r="72" spans="1:14" hidden="1" x14ac:dyDescent="0.2">
      <c r="A72" s="104">
        <v>1</v>
      </c>
      <c r="B72" s="104">
        <v>2</v>
      </c>
      <c r="C72" s="104">
        <v>3</v>
      </c>
      <c r="D72" s="104">
        <v>4</v>
      </c>
      <c r="E72" s="104">
        <v>5</v>
      </c>
      <c r="F72" s="104">
        <v>6</v>
      </c>
      <c r="G72" s="104">
        <v>7</v>
      </c>
      <c r="H72" s="104">
        <v>8</v>
      </c>
      <c r="I72" s="104">
        <v>9</v>
      </c>
      <c r="J72" s="104">
        <v>10</v>
      </c>
      <c r="K72" s="104">
        <v>11</v>
      </c>
      <c r="L72" s="53" t="s">
        <v>434</v>
      </c>
      <c r="M72" s="53" t="s">
        <v>435</v>
      </c>
    </row>
    <row r="73" spans="1:14" ht="84" hidden="1" customHeight="1" x14ac:dyDescent="0.2">
      <c r="A73" s="129"/>
      <c r="B73" s="104">
        <v>1</v>
      </c>
      <c r="C73" s="113">
        <v>1</v>
      </c>
      <c r="D73" s="113">
        <v>0</v>
      </c>
      <c r="E73" s="113">
        <v>0</v>
      </c>
      <c r="F73" s="144">
        <v>71500</v>
      </c>
      <c r="G73" s="145">
        <v>0</v>
      </c>
      <c r="H73" s="145">
        <v>0</v>
      </c>
      <c r="I73" s="146"/>
      <c r="J73" s="147">
        <f>G73*D73</f>
        <v>0</v>
      </c>
      <c r="K73" s="147">
        <f>H73*E73</f>
        <v>0</v>
      </c>
      <c r="L73" s="54"/>
      <c r="M73" s="54">
        <f>I73-L73</f>
        <v>0</v>
      </c>
    </row>
    <row r="74" spans="1:14" hidden="1" x14ac:dyDescent="0.2">
      <c r="A74" s="31" t="s">
        <v>136</v>
      </c>
      <c r="B74" s="104">
        <v>9000</v>
      </c>
      <c r="C74" s="104" t="s">
        <v>12</v>
      </c>
      <c r="D74" s="104" t="s">
        <v>12</v>
      </c>
      <c r="E74" s="104" t="s">
        <v>12</v>
      </c>
      <c r="F74" s="143" t="s">
        <v>12</v>
      </c>
      <c r="G74" s="143" t="s">
        <v>12</v>
      </c>
      <c r="H74" s="143" t="s">
        <v>12</v>
      </c>
      <c r="I74" s="32">
        <f>SUM(I73:I73)</f>
        <v>0</v>
      </c>
      <c r="J74" s="32">
        <f>SUM(J73:J73)</f>
        <v>0</v>
      </c>
      <c r="K74" s="32">
        <f>SUM(K73:K73)</f>
        <v>0</v>
      </c>
      <c r="L74" s="55">
        <f>SUM(L73:L73)</f>
        <v>0</v>
      </c>
      <c r="M74" s="55">
        <f>SUM(M73:M73)</f>
        <v>0</v>
      </c>
    </row>
    <row r="75" spans="1:14" hidden="1" x14ac:dyDescent="0.2">
      <c r="A75" s="133"/>
      <c r="B75" s="108"/>
      <c r="C75" s="108"/>
      <c r="D75" s="108"/>
      <c r="E75" s="108"/>
      <c r="F75" s="148"/>
      <c r="G75" s="148"/>
      <c r="H75" s="148"/>
      <c r="I75" s="134"/>
      <c r="J75" s="134"/>
      <c r="K75" s="134"/>
      <c r="L75" s="138"/>
      <c r="M75" s="138"/>
    </row>
    <row r="76" spans="1:14" hidden="1" x14ac:dyDescent="0.2">
      <c r="A76" s="95" t="s">
        <v>504</v>
      </c>
      <c r="L76" s="128"/>
      <c r="M76" s="128"/>
    </row>
    <row r="77" spans="1:14" ht="12.75" hidden="1" customHeight="1" x14ac:dyDescent="0.2">
      <c r="A77" s="239" t="s">
        <v>221</v>
      </c>
      <c r="B77" s="239" t="s">
        <v>1</v>
      </c>
      <c r="C77" s="251" t="s">
        <v>304</v>
      </c>
      <c r="D77" s="252"/>
      <c r="E77" s="253"/>
      <c r="F77" s="251" t="s">
        <v>305</v>
      </c>
      <c r="G77" s="252"/>
      <c r="H77" s="253"/>
      <c r="I77" s="251" t="s">
        <v>116</v>
      </c>
      <c r="J77" s="252"/>
      <c r="K77" s="253"/>
      <c r="L77" s="128"/>
      <c r="M77" s="128"/>
    </row>
    <row r="78" spans="1:14" hidden="1" x14ac:dyDescent="0.2">
      <c r="A78" s="240"/>
      <c r="B78" s="240"/>
      <c r="C78" s="104" t="s">
        <v>353</v>
      </c>
      <c r="D78" s="104" t="s">
        <v>455</v>
      </c>
      <c r="E78" s="104" t="s">
        <v>508</v>
      </c>
      <c r="F78" s="104" t="s">
        <v>353</v>
      </c>
      <c r="G78" s="104" t="s">
        <v>455</v>
      </c>
      <c r="H78" s="104" t="s">
        <v>508</v>
      </c>
      <c r="I78" s="104" t="s">
        <v>353</v>
      </c>
      <c r="J78" s="104" t="s">
        <v>455</v>
      </c>
      <c r="K78" s="104" t="s">
        <v>508</v>
      </c>
      <c r="L78" s="128"/>
      <c r="M78" s="128"/>
    </row>
    <row r="79" spans="1:14" ht="38.25" hidden="1" x14ac:dyDescent="0.2">
      <c r="A79" s="241"/>
      <c r="B79" s="241"/>
      <c r="C79" s="104" t="s">
        <v>79</v>
      </c>
      <c r="D79" s="104" t="s">
        <v>80</v>
      </c>
      <c r="E79" s="104" t="s">
        <v>81</v>
      </c>
      <c r="F79" s="104" t="s">
        <v>79</v>
      </c>
      <c r="G79" s="104" t="s">
        <v>80</v>
      </c>
      <c r="H79" s="104" t="s">
        <v>81</v>
      </c>
      <c r="I79" s="104" t="s">
        <v>79</v>
      </c>
      <c r="J79" s="104" t="s">
        <v>80</v>
      </c>
      <c r="K79" s="104" t="s">
        <v>81</v>
      </c>
      <c r="L79" s="128"/>
      <c r="M79" s="128"/>
    </row>
    <row r="80" spans="1:14" hidden="1" x14ac:dyDescent="0.2">
      <c r="A80" s="104">
        <v>1</v>
      </c>
      <c r="B80" s="104">
        <v>2</v>
      </c>
      <c r="C80" s="104">
        <v>3</v>
      </c>
      <c r="D80" s="104">
        <v>4</v>
      </c>
      <c r="E80" s="104">
        <v>5</v>
      </c>
      <c r="F80" s="104">
        <v>6</v>
      </c>
      <c r="G80" s="104">
        <v>7</v>
      </c>
      <c r="H80" s="104">
        <v>8</v>
      </c>
      <c r="I80" s="104">
        <v>9</v>
      </c>
      <c r="J80" s="104">
        <v>10</v>
      </c>
      <c r="K80" s="104">
        <v>11</v>
      </c>
      <c r="L80" s="53" t="s">
        <v>434</v>
      </c>
      <c r="M80" s="53" t="s">
        <v>435</v>
      </c>
    </row>
    <row r="81" spans="1:13" hidden="1" x14ac:dyDescent="0.2">
      <c r="A81" s="31"/>
      <c r="B81" s="104">
        <v>1</v>
      </c>
      <c r="C81" s="31">
        <v>4</v>
      </c>
      <c r="D81" s="31">
        <v>1</v>
      </c>
      <c r="E81" s="31">
        <v>1</v>
      </c>
      <c r="F81" s="103">
        <f>I81/C81</f>
        <v>0</v>
      </c>
      <c r="G81" s="103">
        <v>0</v>
      </c>
      <c r="H81" s="103">
        <v>0</v>
      </c>
      <c r="I81" s="103"/>
      <c r="J81" s="103">
        <f>D81*G81</f>
        <v>0</v>
      </c>
      <c r="K81" s="103">
        <f>E81*H81</f>
        <v>0</v>
      </c>
      <c r="L81" s="54"/>
      <c r="M81" s="54">
        <f>I81-L81</f>
        <v>0</v>
      </c>
    </row>
    <row r="82" spans="1:13" hidden="1" x14ac:dyDescent="0.2">
      <c r="A82" s="31" t="s">
        <v>136</v>
      </c>
      <c r="B82" s="104">
        <v>9000</v>
      </c>
      <c r="C82" s="104" t="s">
        <v>12</v>
      </c>
      <c r="D82" s="104" t="s">
        <v>12</v>
      </c>
      <c r="E82" s="104" t="s">
        <v>12</v>
      </c>
      <c r="F82" s="104" t="s">
        <v>12</v>
      </c>
      <c r="G82" s="104" t="s">
        <v>12</v>
      </c>
      <c r="H82" s="104" t="s">
        <v>12</v>
      </c>
      <c r="I82" s="32">
        <f>SUM(I81:I81)</f>
        <v>0</v>
      </c>
      <c r="J82" s="103">
        <f>SUM(J81:J81)</f>
        <v>0</v>
      </c>
      <c r="K82" s="103">
        <f>SUM(K81:K81)</f>
        <v>0</v>
      </c>
      <c r="L82" s="55">
        <f>SUM(L81)</f>
        <v>0</v>
      </c>
      <c r="M82" s="55">
        <f>SUM(M81)</f>
        <v>0</v>
      </c>
    </row>
    <row r="83" spans="1:13" x14ac:dyDescent="0.2">
      <c r="I83" s="139"/>
      <c r="L83" s="56">
        <f>L82+L74+L66+L55+L24+L11</f>
        <v>0</v>
      </c>
      <c r="M83" s="56">
        <f>M82+M74+M66+M55+M24+M11</f>
        <v>1473465.94</v>
      </c>
    </row>
  </sheetData>
  <mergeCells count="30">
    <mergeCell ref="A77:A79"/>
    <mergeCell ref="B77:B79"/>
    <mergeCell ref="C77:E77"/>
    <mergeCell ref="F77:H77"/>
    <mergeCell ref="I77:K77"/>
    <mergeCell ref="A69:A71"/>
    <mergeCell ref="B69:B71"/>
    <mergeCell ref="C69:E69"/>
    <mergeCell ref="F69:H69"/>
    <mergeCell ref="I69:K69"/>
    <mergeCell ref="A4:A6"/>
    <mergeCell ref="B4:B6"/>
    <mergeCell ref="C4:E4"/>
    <mergeCell ref="F4:H4"/>
    <mergeCell ref="I4:K4"/>
    <mergeCell ref="A14:A16"/>
    <mergeCell ref="B14:B16"/>
    <mergeCell ref="C14:E14"/>
    <mergeCell ref="F14:H14"/>
    <mergeCell ref="I14:K14"/>
    <mergeCell ref="A27:A29"/>
    <mergeCell ref="B27:B29"/>
    <mergeCell ref="C27:E27"/>
    <mergeCell ref="F27:H27"/>
    <mergeCell ref="I27:K27"/>
    <mergeCell ref="A57:A59"/>
    <mergeCell ref="B57:B59"/>
    <mergeCell ref="C57:E57"/>
    <mergeCell ref="F57:H57"/>
    <mergeCell ref="I57:K57"/>
  </mergeCells>
  <pageMargins left="0.31496062992125984" right="0.11811023622047245" top="0.74803149606299213" bottom="0.35433070866141736" header="0.11811023622047245" footer="0.11811023622047245"/>
  <pageSetup paperSize="9" scale="92" fitToHeight="2" orientation="landscape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98"/>
  <sheetViews>
    <sheetView tabSelected="1" view="pageBreakPreview" zoomScaleNormal="100" zoomScaleSheetLayoutView="100" workbookViewId="0">
      <pane xSplit="2" ySplit="6" topLeftCell="C58" activePane="bottomRight" state="frozen"/>
      <selection pane="topRight" activeCell="C1" sqref="C1"/>
      <selection pane="bottomLeft" activeCell="A7" sqref="A7"/>
      <selection pane="bottomRight" activeCell="L10" sqref="L10"/>
    </sheetView>
  </sheetViews>
  <sheetFormatPr defaultColWidth="9.140625" defaultRowHeight="12.75" x14ac:dyDescent="0.2"/>
  <cols>
    <col min="1" max="1" width="19.5703125" style="30" customWidth="1"/>
    <col min="2" max="2" width="9" style="30" customWidth="1"/>
    <col min="3" max="3" width="12.28515625" style="30" customWidth="1"/>
    <col min="4" max="5" width="14.5703125" style="30" customWidth="1"/>
    <col min="6" max="6" width="12" style="30" customWidth="1"/>
    <col min="7" max="11" width="14.5703125" style="30" customWidth="1"/>
    <col min="12" max="12" width="11.140625" style="30" customWidth="1"/>
    <col min="13" max="13" width="12.5703125" style="30" bestFit="1" customWidth="1"/>
    <col min="14" max="14" width="10.7109375" style="30" customWidth="1"/>
    <col min="15" max="16384" width="9.140625" style="30"/>
  </cols>
  <sheetData>
    <row r="1" spans="1:15" x14ac:dyDescent="0.2">
      <c r="A1" s="30" t="s">
        <v>306</v>
      </c>
    </row>
    <row r="3" spans="1:15" x14ac:dyDescent="0.2">
      <c r="A3" s="30" t="str">
        <f>'3.13.1'!D9</f>
        <v>0701 0210080610 621</v>
      </c>
    </row>
    <row r="4" spans="1:15" ht="12.75" customHeight="1" x14ac:dyDescent="0.2">
      <c r="A4" s="237" t="s">
        <v>221</v>
      </c>
      <c r="B4" s="237" t="s">
        <v>1</v>
      </c>
      <c r="C4" s="237" t="s">
        <v>304</v>
      </c>
      <c r="D4" s="237"/>
      <c r="E4" s="237"/>
      <c r="F4" s="237" t="s">
        <v>305</v>
      </c>
      <c r="G4" s="237"/>
      <c r="H4" s="237"/>
      <c r="I4" s="237" t="s">
        <v>116</v>
      </c>
      <c r="J4" s="237"/>
      <c r="K4" s="237"/>
    </row>
    <row r="5" spans="1:15" x14ac:dyDescent="0.2">
      <c r="A5" s="237"/>
      <c r="B5" s="237"/>
      <c r="C5" s="104" t="s">
        <v>353</v>
      </c>
      <c r="D5" s="104" t="s">
        <v>455</v>
      </c>
      <c r="E5" s="104" t="s">
        <v>508</v>
      </c>
      <c r="F5" s="104" t="s">
        <v>353</v>
      </c>
      <c r="G5" s="104" t="s">
        <v>455</v>
      </c>
      <c r="H5" s="104" t="s">
        <v>508</v>
      </c>
      <c r="I5" s="104" t="s">
        <v>353</v>
      </c>
      <c r="J5" s="104" t="s">
        <v>455</v>
      </c>
      <c r="K5" s="104" t="s">
        <v>508</v>
      </c>
    </row>
    <row r="6" spans="1:15" ht="45.75" customHeight="1" x14ac:dyDescent="0.2">
      <c r="A6" s="237"/>
      <c r="B6" s="237"/>
      <c r="C6" s="104" t="s">
        <v>79</v>
      </c>
      <c r="D6" s="104" t="s">
        <v>80</v>
      </c>
      <c r="E6" s="104" t="s">
        <v>81</v>
      </c>
      <c r="F6" s="104" t="s">
        <v>79</v>
      </c>
      <c r="G6" s="104" t="s">
        <v>80</v>
      </c>
      <c r="H6" s="104" t="s">
        <v>81</v>
      </c>
      <c r="I6" s="104" t="s">
        <v>79</v>
      </c>
      <c r="J6" s="104" t="s">
        <v>80</v>
      </c>
      <c r="K6" s="104" t="s">
        <v>81</v>
      </c>
    </row>
    <row r="7" spans="1:15" x14ac:dyDescent="0.2">
      <c r="A7" s="104">
        <v>1</v>
      </c>
      <c r="B7" s="104">
        <v>2</v>
      </c>
      <c r="C7" s="104">
        <v>3</v>
      </c>
      <c r="D7" s="104">
        <v>4</v>
      </c>
      <c r="E7" s="104">
        <v>5</v>
      </c>
      <c r="F7" s="104">
        <v>6</v>
      </c>
      <c r="G7" s="104">
        <v>7</v>
      </c>
      <c r="H7" s="104">
        <v>8</v>
      </c>
      <c r="I7" s="104">
        <v>9</v>
      </c>
      <c r="J7" s="104">
        <v>10</v>
      </c>
      <c r="K7" s="104">
        <v>11</v>
      </c>
      <c r="L7" s="111" t="s">
        <v>434</v>
      </c>
      <c r="M7" s="111" t="s">
        <v>435</v>
      </c>
    </row>
    <row r="8" spans="1:15" ht="25.5" x14ac:dyDescent="0.2">
      <c r="A8" s="112" t="s">
        <v>538</v>
      </c>
      <c r="B8" s="104">
        <v>1</v>
      </c>
      <c r="C8" s="113">
        <v>2</v>
      </c>
      <c r="D8" s="113">
        <v>2</v>
      </c>
      <c r="E8" s="113">
        <v>2</v>
      </c>
      <c r="F8" s="114">
        <f>I8/C8</f>
        <v>10000</v>
      </c>
      <c r="G8" s="114">
        <f>J8/D8</f>
        <v>10000</v>
      </c>
      <c r="H8" s="114">
        <f>K8/E8</f>
        <v>10000</v>
      </c>
      <c r="I8" s="115">
        <v>20000</v>
      </c>
      <c r="J8" s="115">
        <v>20000</v>
      </c>
      <c r="K8" s="115">
        <v>20000</v>
      </c>
      <c r="L8" s="116"/>
      <c r="M8" s="116">
        <f>I8-L8</f>
        <v>20000</v>
      </c>
      <c r="N8" s="30" t="s">
        <v>439</v>
      </c>
    </row>
    <row r="9" spans="1:15" x14ac:dyDescent="0.2">
      <c r="A9" s="117" t="s">
        <v>325</v>
      </c>
      <c r="B9" s="104">
        <f>B8+1</f>
        <v>2</v>
      </c>
      <c r="C9" s="113">
        <v>4</v>
      </c>
      <c r="D9" s="113">
        <v>4</v>
      </c>
      <c r="E9" s="113">
        <v>4</v>
      </c>
      <c r="F9" s="114">
        <f t="shared" ref="F9:F20" si="0">I9/C9</f>
        <v>26200</v>
      </c>
      <c r="G9" s="114">
        <f t="shared" ref="G9:G20" si="1">J9/D9</f>
        <v>26200</v>
      </c>
      <c r="H9" s="114">
        <f t="shared" ref="H9:H20" si="2">K9/E9</f>
        <v>26200</v>
      </c>
      <c r="I9" s="118">
        <v>104800</v>
      </c>
      <c r="J9" s="118">
        <v>104800</v>
      </c>
      <c r="K9" s="118">
        <v>104800</v>
      </c>
      <c r="L9" s="116"/>
      <c r="M9" s="116">
        <f t="shared" ref="M9:M20" si="3">I9-L9</f>
        <v>104800</v>
      </c>
      <c r="N9" s="30" t="s">
        <v>443</v>
      </c>
    </row>
    <row r="10" spans="1:15" ht="18.75" customHeight="1" x14ac:dyDescent="0.2">
      <c r="A10" s="117" t="s">
        <v>326</v>
      </c>
      <c r="B10" s="104">
        <f t="shared" ref="B10:B20" si="4">B9+1</f>
        <v>3</v>
      </c>
      <c r="C10" s="113">
        <v>8</v>
      </c>
      <c r="D10" s="113">
        <v>8</v>
      </c>
      <c r="E10" s="113">
        <v>8</v>
      </c>
      <c r="F10" s="114">
        <f t="shared" si="0"/>
        <v>9375</v>
      </c>
      <c r="G10" s="114">
        <f t="shared" si="1"/>
        <v>9375</v>
      </c>
      <c r="H10" s="114">
        <f t="shared" si="2"/>
        <v>9375</v>
      </c>
      <c r="I10" s="118">
        <v>75000</v>
      </c>
      <c r="J10" s="118">
        <v>75000</v>
      </c>
      <c r="K10" s="118">
        <v>75000</v>
      </c>
      <c r="L10" s="116"/>
      <c r="M10" s="116">
        <f t="shared" si="3"/>
        <v>75000</v>
      </c>
      <c r="N10" s="30" t="s">
        <v>443</v>
      </c>
      <c r="O10" s="95"/>
    </row>
    <row r="11" spans="1:15" ht="25.5" x14ac:dyDescent="0.2">
      <c r="A11" s="112" t="s">
        <v>323</v>
      </c>
      <c r="B11" s="104">
        <f t="shared" si="4"/>
        <v>4</v>
      </c>
      <c r="C11" s="113">
        <v>5</v>
      </c>
      <c r="D11" s="113">
        <v>5</v>
      </c>
      <c r="E11" s="113">
        <v>5</v>
      </c>
      <c r="F11" s="114">
        <f t="shared" si="0"/>
        <v>13680</v>
      </c>
      <c r="G11" s="114">
        <f t="shared" si="1"/>
        <v>13680</v>
      </c>
      <c r="H11" s="114">
        <f t="shared" si="2"/>
        <v>13680</v>
      </c>
      <c r="I11" s="118">
        <v>68400</v>
      </c>
      <c r="J11" s="118">
        <v>68400</v>
      </c>
      <c r="K11" s="118">
        <v>68400</v>
      </c>
      <c r="L11" s="116"/>
      <c r="M11" s="116">
        <f t="shared" si="3"/>
        <v>68400</v>
      </c>
      <c r="N11" s="30" t="s">
        <v>440</v>
      </c>
      <c r="O11" s="95"/>
    </row>
    <row r="12" spans="1:15" ht="25.5" x14ac:dyDescent="0.2">
      <c r="A12" s="117" t="s">
        <v>324</v>
      </c>
      <c r="B12" s="104">
        <f t="shared" si="4"/>
        <v>5</v>
      </c>
      <c r="C12" s="113">
        <v>5</v>
      </c>
      <c r="D12" s="113">
        <v>5</v>
      </c>
      <c r="E12" s="113">
        <v>5</v>
      </c>
      <c r="F12" s="114">
        <f t="shared" si="0"/>
        <v>10000</v>
      </c>
      <c r="G12" s="114">
        <f t="shared" si="1"/>
        <v>10000</v>
      </c>
      <c r="H12" s="114">
        <f t="shared" si="2"/>
        <v>10000</v>
      </c>
      <c r="I12" s="118">
        <v>50000</v>
      </c>
      <c r="J12" s="118">
        <v>50000</v>
      </c>
      <c r="K12" s="118">
        <v>50000</v>
      </c>
      <c r="L12" s="116"/>
      <c r="M12" s="116">
        <f t="shared" si="3"/>
        <v>50000</v>
      </c>
      <c r="N12" s="30" t="s">
        <v>443</v>
      </c>
      <c r="O12" s="95"/>
    </row>
    <row r="13" spans="1:15" ht="25.5" x14ac:dyDescent="0.2">
      <c r="A13" s="117" t="s">
        <v>536</v>
      </c>
      <c r="B13" s="104">
        <f t="shared" si="4"/>
        <v>6</v>
      </c>
      <c r="C13" s="113">
        <v>5</v>
      </c>
      <c r="D13" s="113">
        <v>5</v>
      </c>
      <c r="E13" s="113">
        <v>5</v>
      </c>
      <c r="F13" s="114">
        <f t="shared" si="0"/>
        <v>2000</v>
      </c>
      <c r="G13" s="114">
        <f t="shared" si="1"/>
        <v>2000</v>
      </c>
      <c r="H13" s="114">
        <f t="shared" si="2"/>
        <v>2000</v>
      </c>
      <c r="I13" s="118">
        <v>10000</v>
      </c>
      <c r="J13" s="118">
        <v>10000</v>
      </c>
      <c r="K13" s="118">
        <v>10000</v>
      </c>
      <c r="L13" s="116"/>
      <c r="M13" s="116">
        <f t="shared" si="3"/>
        <v>10000</v>
      </c>
      <c r="N13" s="30" t="s">
        <v>443</v>
      </c>
      <c r="O13" s="95"/>
    </row>
    <row r="14" spans="1:15" ht="25.5" x14ac:dyDescent="0.2">
      <c r="A14" s="117" t="s">
        <v>539</v>
      </c>
      <c r="B14" s="104">
        <f t="shared" si="4"/>
        <v>7</v>
      </c>
      <c r="C14" s="113">
        <v>4</v>
      </c>
      <c r="D14" s="113">
        <v>4</v>
      </c>
      <c r="E14" s="113">
        <v>4</v>
      </c>
      <c r="F14" s="114">
        <f t="shared" si="0"/>
        <v>5000</v>
      </c>
      <c r="G14" s="114">
        <f t="shared" si="1"/>
        <v>5000</v>
      </c>
      <c r="H14" s="114">
        <f t="shared" si="2"/>
        <v>5000</v>
      </c>
      <c r="I14" s="118">
        <v>20000</v>
      </c>
      <c r="J14" s="118">
        <v>20000</v>
      </c>
      <c r="K14" s="118">
        <v>20000</v>
      </c>
      <c r="L14" s="116"/>
      <c r="M14" s="116">
        <f t="shared" si="3"/>
        <v>20000</v>
      </c>
      <c r="N14" s="30" t="s">
        <v>443</v>
      </c>
      <c r="O14" s="95"/>
    </row>
    <row r="15" spans="1:15" ht="25.5" x14ac:dyDescent="0.2">
      <c r="A15" s="117" t="s">
        <v>540</v>
      </c>
      <c r="B15" s="104">
        <f t="shared" si="4"/>
        <v>8</v>
      </c>
      <c r="C15" s="113">
        <v>2</v>
      </c>
      <c r="D15" s="113">
        <v>2</v>
      </c>
      <c r="E15" s="113">
        <v>2</v>
      </c>
      <c r="F15" s="114">
        <f t="shared" si="0"/>
        <v>29000</v>
      </c>
      <c r="G15" s="114">
        <f t="shared" si="1"/>
        <v>29000</v>
      </c>
      <c r="H15" s="114">
        <f t="shared" si="2"/>
        <v>29000</v>
      </c>
      <c r="I15" s="118">
        <v>58000</v>
      </c>
      <c r="J15" s="118">
        <v>58000</v>
      </c>
      <c r="K15" s="118">
        <v>58000</v>
      </c>
      <c r="L15" s="116"/>
      <c r="M15" s="116">
        <f t="shared" si="3"/>
        <v>58000</v>
      </c>
      <c r="N15" s="30" t="s">
        <v>443</v>
      </c>
    </row>
    <row r="16" spans="1:15" ht="25.5" x14ac:dyDescent="0.2">
      <c r="A16" s="112" t="s">
        <v>327</v>
      </c>
      <c r="B16" s="104">
        <f t="shared" si="4"/>
        <v>9</v>
      </c>
      <c r="C16" s="113">
        <v>3</v>
      </c>
      <c r="D16" s="113">
        <v>3</v>
      </c>
      <c r="E16" s="113">
        <v>3</v>
      </c>
      <c r="F16" s="114">
        <f t="shared" si="0"/>
        <v>9000</v>
      </c>
      <c r="G16" s="114">
        <f t="shared" si="1"/>
        <v>9000</v>
      </c>
      <c r="H16" s="114">
        <f t="shared" si="2"/>
        <v>9000</v>
      </c>
      <c r="I16" s="119">
        <v>27000</v>
      </c>
      <c r="J16" s="119">
        <v>27000</v>
      </c>
      <c r="K16" s="119">
        <v>27000</v>
      </c>
      <c r="L16" s="116"/>
      <c r="M16" s="116">
        <f t="shared" si="3"/>
        <v>27000</v>
      </c>
      <c r="N16" s="30" t="s">
        <v>443</v>
      </c>
    </row>
    <row r="17" spans="1:14" x14ac:dyDescent="0.2">
      <c r="A17" s="112" t="s">
        <v>328</v>
      </c>
      <c r="B17" s="104">
        <f t="shared" si="4"/>
        <v>10</v>
      </c>
      <c r="C17" s="113">
        <v>2</v>
      </c>
      <c r="D17" s="113">
        <v>2</v>
      </c>
      <c r="E17" s="113">
        <v>2</v>
      </c>
      <c r="F17" s="114">
        <f t="shared" si="0"/>
        <v>4500</v>
      </c>
      <c r="G17" s="114">
        <f t="shared" si="1"/>
        <v>4500</v>
      </c>
      <c r="H17" s="114">
        <f t="shared" si="2"/>
        <v>4500</v>
      </c>
      <c r="I17" s="119">
        <v>9000</v>
      </c>
      <c r="J17" s="119">
        <v>9000</v>
      </c>
      <c r="K17" s="119">
        <v>9000</v>
      </c>
      <c r="L17" s="116"/>
      <c r="M17" s="116">
        <f t="shared" si="3"/>
        <v>9000</v>
      </c>
      <c r="N17" s="30" t="s">
        <v>441</v>
      </c>
    </row>
    <row r="18" spans="1:14" x14ac:dyDescent="0.2">
      <c r="A18" s="112" t="s">
        <v>329</v>
      </c>
      <c r="B18" s="104">
        <f t="shared" si="4"/>
        <v>11</v>
      </c>
      <c r="C18" s="113">
        <v>6</v>
      </c>
      <c r="D18" s="113">
        <v>6</v>
      </c>
      <c r="E18" s="113">
        <v>6</v>
      </c>
      <c r="F18" s="114">
        <f t="shared" si="0"/>
        <v>166.66666666666666</v>
      </c>
      <c r="G18" s="114">
        <f t="shared" si="1"/>
        <v>166.66666666666666</v>
      </c>
      <c r="H18" s="114">
        <f t="shared" si="2"/>
        <v>166.66666666666666</v>
      </c>
      <c r="I18" s="119">
        <v>1000</v>
      </c>
      <c r="J18" s="119">
        <v>1000</v>
      </c>
      <c r="K18" s="119">
        <v>1000</v>
      </c>
      <c r="L18" s="116"/>
      <c r="M18" s="116">
        <f t="shared" si="3"/>
        <v>1000</v>
      </c>
      <c r="N18" s="30" t="s">
        <v>443</v>
      </c>
    </row>
    <row r="19" spans="1:14" x14ac:dyDescent="0.2">
      <c r="A19" s="112" t="s">
        <v>537</v>
      </c>
      <c r="B19" s="104">
        <f t="shared" si="4"/>
        <v>12</v>
      </c>
      <c r="C19" s="113">
        <v>1</v>
      </c>
      <c r="D19" s="113">
        <v>1</v>
      </c>
      <c r="E19" s="113">
        <v>1</v>
      </c>
      <c r="F19" s="114">
        <f t="shared" si="0"/>
        <v>8600</v>
      </c>
      <c r="G19" s="114">
        <f t="shared" si="1"/>
        <v>8600</v>
      </c>
      <c r="H19" s="114">
        <f t="shared" si="2"/>
        <v>8600</v>
      </c>
      <c r="I19" s="115">
        <v>8600</v>
      </c>
      <c r="J19" s="115">
        <v>8600</v>
      </c>
      <c r="K19" s="115">
        <v>8600</v>
      </c>
      <c r="L19" s="116"/>
      <c r="M19" s="116">
        <f t="shared" si="3"/>
        <v>8600</v>
      </c>
      <c r="N19" s="30" t="s">
        <v>443</v>
      </c>
    </row>
    <row r="20" spans="1:14" x14ac:dyDescent="0.2">
      <c r="A20" s="112" t="s">
        <v>316</v>
      </c>
      <c r="B20" s="104">
        <f t="shared" si="4"/>
        <v>13</v>
      </c>
      <c r="C20" s="113">
        <v>1</v>
      </c>
      <c r="D20" s="113">
        <v>1</v>
      </c>
      <c r="E20" s="113">
        <v>1</v>
      </c>
      <c r="F20" s="114">
        <f t="shared" si="0"/>
        <v>2346000</v>
      </c>
      <c r="G20" s="114">
        <f t="shared" si="1"/>
        <v>2346000</v>
      </c>
      <c r="H20" s="114">
        <f t="shared" si="2"/>
        <v>2346000</v>
      </c>
      <c r="I20" s="115">
        <v>2346000</v>
      </c>
      <c r="J20" s="115">
        <v>2346000</v>
      </c>
      <c r="K20" s="115">
        <v>2346000</v>
      </c>
      <c r="L20" s="116"/>
      <c r="M20" s="116">
        <f t="shared" si="3"/>
        <v>2346000</v>
      </c>
      <c r="N20" s="30" t="s">
        <v>443</v>
      </c>
    </row>
    <row r="21" spans="1:14" x14ac:dyDescent="0.2">
      <c r="A21" s="31" t="s">
        <v>136</v>
      </c>
      <c r="B21" s="104">
        <v>9000</v>
      </c>
      <c r="C21" s="104" t="s">
        <v>12</v>
      </c>
      <c r="D21" s="104" t="s">
        <v>12</v>
      </c>
      <c r="E21" s="104" t="s">
        <v>12</v>
      </c>
      <c r="F21" s="104" t="s">
        <v>12</v>
      </c>
      <c r="G21" s="104" t="s">
        <v>12</v>
      </c>
      <c r="H21" s="104" t="s">
        <v>12</v>
      </c>
      <c r="I21" s="32">
        <f>SUM(I8:I20)</f>
        <v>2797800</v>
      </c>
      <c r="J21" s="32">
        <f>SUM(J8:J20)</f>
        <v>2797800</v>
      </c>
      <c r="K21" s="32">
        <f>SUM(K8:K20)</f>
        <v>2797800</v>
      </c>
      <c r="L21" s="56">
        <f>SUM(L8:L20)</f>
        <v>0</v>
      </c>
      <c r="M21" s="56">
        <f>SUM(M8:M20)</f>
        <v>2797800</v>
      </c>
    </row>
    <row r="23" spans="1:14" x14ac:dyDescent="0.2">
      <c r="A23" s="95" t="str">
        <f>'3.13.1'!I9</f>
        <v>0701 0210075880 621</v>
      </c>
    </row>
    <row r="24" spans="1:14" ht="12.75" customHeight="1" x14ac:dyDescent="0.2">
      <c r="A24" s="237" t="s">
        <v>221</v>
      </c>
      <c r="B24" s="237" t="s">
        <v>1</v>
      </c>
      <c r="C24" s="237" t="s">
        <v>304</v>
      </c>
      <c r="D24" s="237"/>
      <c r="E24" s="237"/>
      <c r="F24" s="237" t="s">
        <v>305</v>
      </c>
      <c r="G24" s="237"/>
      <c r="H24" s="237"/>
      <c r="I24" s="237" t="s">
        <v>116</v>
      </c>
      <c r="J24" s="237"/>
      <c r="K24" s="237"/>
    </row>
    <row r="25" spans="1:14" x14ac:dyDescent="0.2">
      <c r="A25" s="237"/>
      <c r="B25" s="237"/>
      <c r="C25" s="104" t="s">
        <v>353</v>
      </c>
      <c r="D25" s="104" t="s">
        <v>455</v>
      </c>
      <c r="E25" s="104" t="s">
        <v>508</v>
      </c>
      <c r="F25" s="104" t="s">
        <v>353</v>
      </c>
      <c r="G25" s="104" t="s">
        <v>455</v>
      </c>
      <c r="H25" s="104" t="s">
        <v>508</v>
      </c>
      <c r="I25" s="104" t="s">
        <v>353</v>
      </c>
      <c r="J25" s="104" t="s">
        <v>455</v>
      </c>
      <c r="K25" s="104" t="s">
        <v>508</v>
      </c>
    </row>
    <row r="26" spans="1:14" ht="43.5" customHeight="1" x14ac:dyDescent="0.2">
      <c r="A26" s="237"/>
      <c r="B26" s="237"/>
      <c r="C26" s="104" t="s">
        <v>79</v>
      </c>
      <c r="D26" s="104" t="s">
        <v>80</v>
      </c>
      <c r="E26" s="104" t="s">
        <v>81</v>
      </c>
      <c r="F26" s="104" t="s">
        <v>79</v>
      </c>
      <c r="G26" s="104" t="s">
        <v>80</v>
      </c>
      <c r="H26" s="104" t="s">
        <v>81</v>
      </c>
      <c r="I26" s="104" t="s">
        <v>79</v>
      </c>
      <c r="J26" s="104" t="s">
        <v>80</v>
      </c>
      <c r="K26" s="104" t="s">
        <v>81</v>
      </c>
    </row>
    <row r="27" spans="1:14" x14ac:dyDescent="0.2">
      <c r="A27" s="104">
        <v>1</v>
      </c>
      <c r="B27" s="104">
        <v>2</v>
      </c>
      <c r="C27" s="104">
        <v>3</v>
      </c>
      <c r="D27" s="104">
        <v>4</v>
      </c>
      <c r="E27" s="104">
        <v>5</v>
      </c>
      <c r="F27" s="104">
        <v>6</v>
      </c>
      <c r="G27" s="104">
        <v>7</v>
      </c>
      <c r="H27" s="104">
        <v>8</v>
      </c>
      <c r="I27" s="104">
        <v>9</v>
      </c>
      <c r="J27" s="104">
        <v>10</v>
      </c>
      <c r="K27" s="104">
        <v>11</v>
      </c>
      <c r="L27" s="53" t="s">
        <v>434</v>
      </c>
      <c r="M27" s="53" t="s">
        <v>435</v>
      </c>
    </row>
    <row r="28" spans="1:14" x14ac:dyDescent="0.2">
      <c r="A28" s="120" t="s">
        <v>317</v>
      </c>
      <c r="B28" s="104">
        <v>1</v>
      </c>
      <c r="C28" s="113">
        <v>1</v>
      </c>
      <c r="D28" s="113">
        <v>1</v>
      </c>
      <c r="E28" s="113">
        <v>1</v>
      </c>
      <c r="F28" s="121">
        <f t="shared" ref="F28:H33" si="5">I28/C28</f>
        <v>8000</v>
      </c>
      <c r="G28" s="121">
        <f t="shared" si="5"/>
        <v>8000</v>
      </c>
      <c r="H28" s="121">
        <f t="shared" si="5"/>
        <v>8000</v>
      </c>
      <c r="I28" s="122">
        <v>8000</v>
      </c>
      <c r="J28" s="122">
        <v>8000</v>
      </c>
      <c r="K28" s="122">
        <v>8000</v>
      </c>
      <c r="L28" s="54"/>
      <c r="M28" s="123">
        <f t="shared" ref="M28:M33" si="6">I28-L28</f>
        <v>8000</v>
      </c>
      <c r="N28" s="30" t="s">
        <v>443</v>
      </c>
    </row>
    <row r="29" spans="1:14" ht="25.5" x14ac:dyDescent="0.2">
      <c r="A29" s="124" t="s">
        <v>333</v>
      </c>
      <c r="B29" s="104">
        <v>2</v>
      </c>
      <c r="C29" s="113">
        <v>1</v>
      </c>
      <c r="D29" s="113">
        <v>1</v>
      </c>
      <c r="E29" s="113">
        <v>1</v>
      </c>
      <c r="F29" s="121">
        <f t="shared" si="5"/>
        <v>14000</v>
      </c>
      <c r="G29" s="121">
        <f t="shared" si="5"/>
        <v>14000</v>
      </c>
      <c r="H29" s="121">
        <f t="shared" si="5"/>
        <v>14000</v>
      </c>
      <c r="I29" s="122">
        <v>14000</v>
      </c>
      <c r="J29" s="122">
        <v>14000</v>
      </c>
      <c r="K29" s="122">
        <v>14000</v>
      </c>
      <c r="L29" s="54"/>
      <c r="M29" s="123">
        <f t="shared" si="6"/>
        <v>14000</v>
      </c>
      <c r="N29" s="30" t="s">
        <v>443</v>
      </c>
    </row>
    <row r="30" spans="1:14" ht="51" x14ac:dyDescent="0.2">
      <c r="A30" s="124" t="s">
        <v>334</v>
      </c>
      <c r="B30" s="104">
        <f>B29+1</f>
        <v>3</v>
      </c>
      <c r="C30" s="113">
        <v>1</v>
      </c>
      <c r="D30" s="113">
        <v>1</v>
      </c>
      <c r="E30" s="113">
        <v>1</v>
      </c>
      <c r="F30" s="121">
        <f t="shared" si="5"/>
        <v>16000</v>
      </c>
      <c r="G30" s="121">
        <f t="shared" si="5"/>
        <v>16000</v>
      </c>
      <c r="H30" s="121">
        <f t="shared" si="5"/>
        <v>16000</v>
      </c>
      <c r="I30" s="122">
        <v>16000</v>
      </c>
      <c r="J30" s="122">
        <v>16000</v>
      </c>
      <c r="K30" s="122">
        <v>16000</v>
      </c>
      <c r="L30" s="54"/>
      <c r="M30" s="54">
        <f t="shared" si="6"/>
        <v>16000</v>
      </c>
      <c r="N30" s="30" t="s">
        <v>443</v>
      </c>
    </row>
    <row r="31" spans="1:14" ht="76.5" x14ac:dyDescent="0.2">
      <c r="A31" s="124" t="s">
        <v>335</v>
      </c>
      <c r="B31" s="104">
        <f>B30+1</f>
        <v>4</v>
      </c>
      <c r="C31" s="113">
        <v>1</v>
      </c>
      <c r="D31" s="113">
        <v>1</v>
      </c>
      <c r="E31" s="113">
        <v>1</v>
      </c>
      <c r="F31" s="121">
        <f t="shared" si="5"/>
        <v>10000</v>
      </c>
      <c r="G31" s="121">
        <f t="shared" si="5"/>
        <v>10000</v>
      </c>
      <c r="H31" s="121">
        <f t="shared" si="5"/>
        <v>10000</v>
      </c>
      <c r="I31" s="122">
        <v>10000</v>
      </c>
      <c r="J31" s="122">
        <v>10000</v>
      </c>
      <c r="K31" s="122">
        <v>10000</v>
      </c>
      <c r="L31" s="54"/>
      <c r="M31" s="54">
        <f t="shared" si="6"/>
        <v>10000</v>
      </c>
      <c r="N31" s="30" t="s">
        <v>443</v>
      </c>
    </row>
    <row r="32" spans="1:14" ht="25.5" x14ac:dyDescent="0.2">
      <c r="A32" s="124" t="s">
        <v>336</v>
      </c>
      <c r="B32" s="104">
        <f>B31+1</f>
        <v>5</v>
      </c>
      <c r="C32" s="113">
        <v>1</v>
      </c>
      <c r="D32" s="113">
        <v>1</v>
      </c>
      <c r="E32" s="113">
        <v>1</v>
      </c>
      <c r="F32" s="121">
        <f t="shared" si="5"/>
        <v>6000</v>
      </c>
      <c r="G32" s="121">
        <f t="shared" si="5"/>
        <v>6000</v>
      </c>
      <c r="H32" s="121">
        <f t="shared" si="5"/>
        <v>6000</v>
      </c>
      <c r="I32" s="122">
        <v>6000</v>
      </c>
      <c r="J32" s="122">
        <v>6000</v>
      </c>
      <c r="K32" s="122">
        <v>6000</v>
      </c>
      <c r="L32" s="54"/>
      <c r="M32" s="54">
        <f t="shared" si="6"/>
        <v>6000</v>
      </c>
      <c r="N32" s="30" t="s">
        <v>443</v>
      </c>
    </row>
    <row r="33" spans="1:14" ht="25.5" x14ac:dyDescent="0.2">
      <c r="A33" s="124" t="s">
        <v>337</v>
      </c>
      <c r="B33" s="104">
        <f>B32+1</f>
        <v>6</v>
      </c>
      <c r="C33" s="113">
        <v>1</v>
      </c>
      <c r="D33" s="113">
        <v>1</v>
      </c>
      <c r="E33" s="113">
        <v>1</v>
      </c>
      <c r="F33" s="121">
        <f t="shared" si="5"/>
        <v>5000</v>
      </c>
      <c r="G33" s="121">
        <f t="shared" si="5"/>
        <v>5000</v>
      </c>
      <c r="H33" s="121">
        <f t="shared" si="5"/>
        <v>5000</v>
      </c>
      <c r="I33" s="122">
        <v>5000</v>
      </c>
      <c r="J33" s="122">
        <v>5000</v>
      </c>
      <c r="K33" s="122">
        <v>5000</v>
      </c>
      <c r="L33" s="54"/>
      <c r="M33" s="54">
        <f t="shared" si="6"/>
        <v>5000</v>
      </c>
      <c r="N33" s="30" t="s">
        <v>442</v>
      </c>
    </row>
    <row r="34" spans="1:14" x14ac:dyDescent="0.2">
      <c r="A34" s="31" t="s">
        <v>136</v>
      </c>
      <c r="B34" s="104">
        <v>9000</v>
      </c>
      <c r="C34" s="104" t="s">
        <v>12</v>
      </c>
      <c r="D34" s="104" t="s">
        <v>12</v>
      </c>
      <c r="E34" s="104" t="s">
        <v>12</v>
      </c>
      <c r="F34" s="104" t="s">
        <v>12</v>
      </c>
      <c r="G34" s="104" t="s">
        <v>12</v>
      </c>
      <c r="H34" s="104" t="s">
        <v>12</v>
      </c>
      <c r="I34" s="32">
        <f>SUM(I28:I33)</f>
        <v>59000</v>
      </c>
      <c r="J34" s="32">
        <f>SUM(J28:J33)</f>
        <v>59000</v>
      </c>
      <c r="K34" s="32">
        <f>SUM(K28:K33)</f>
        <v>59000</v>
      </c>
      <c r="L34" s="55">
        <f>SUM(L28:L33)</f>
        <v>0</v>
      </c>
      <c r="M34" s="55">
        <f>SUM(M28:M33)</f>
        <v>59000</v>
      </c>
    </row>
    <row r="36" spans="1:14" x14ac:dyDescent="0.2">
      <c r="A36" s="30" t="str">
        <f>'3.13.1'!J9</f>
        <v>0701 0210074080 621</v>
      </c>
    </row>
    <row r="37" spans="1:14" ht="12.75" customHeight="1" x14ac:dyDescent="0.2">
      <c r="A37" s="237" t="s">
        <v>221</v>
      </c>
      <c r="B37" s="237" t="s">
        <v>1</v>
      </c>
      <c r="C37" s="237" t="s">
        <v>304</v>
      </c>
      <c r="D37" s="237"/>
      <c r="E37" s="237"/>
      <c r="F37" s="237" t="s">
        <v>305</v>
      </c>
      <c r="G37" s="237"/>
      <c r="H37" s="237"/>
      <c r="I37" s="237" t="s">
        <v>116</v>
      </c>
      <c r="J37" s="237"/>
      <c r="K37" s="237"/>
    </row>
    <row r="38" spans="1:14" x14ac:dyDescent="0.2">
      <c r="A38" s="237"/>
      <c r="B38" s="237"/>
      <c r="C38" s="104" t="s">
        <v>353</v>
      </c>
      <c r="D38" s="104" t="s">
        <v>455</v>
      </c>
      <c r="E38" s="104" t="s">
        <v>508</v>
      </c>
      <c r="F38" s="104" t="s">
        <v>353</v>
      </c>
      <c r="G38" s="104" t="s">
        <v>455</v>
      </c>
      <c r="H38" s="104" t="s">
        <v>508</v>
      </c>
      <c r="I38" s="104" t="s">
        <v>353</v>
      </c>
      <c r="J38" s="104" t="s">
        <v>455</v>
      </c>
      <c r="K38" s="104" t="s">
        <v>508</v>
      </c>
    </row>
    <row r="39" spans="1:14" ht="38.25" x14ac:dyDescent="0.2">
      <c r="A39" s="237"/>
      <c r="B39" s="237"/>
      <c r="C39" s="104" t="s">
        <v>79</v>
      </c>
      <c r="D39" s="104" t="s">
        <v>80</v>
      </c>
      <c r="E39" s="104" t="s">
        <v>81</v>
      </c>
      <c r="F39" s="104" t="s">
        <v>79</v>
      </c>
      <c r="G39" s="104" t="s">
        <v>80</v>
      </c>
      <c r="H39" s="104" t="s">
        <v>81</v>
      </c>
      <c r="I39" s="104" t="s">
        <v>79</v>
      </c>
      <c r="J39" s="104" t="s">
        <v>80</v>
      </c>
      <c r="K39" s="104" t="s">
        <v>81</v>
      </c>
    </row>
    <row r="40" spans="1:14" x14ac:dyDescent="0.2">
      <c r="A40" s="104">
        <v>1</v>
      </c>
      <c r="B40" s="104">
        <v>2</v>
      </c>
      <c r="C40" s="104">
        <v>3</v>
      </c>
      <c r="D40" s="104">
        <v>4</v>
      </c>
      <c r="E40" s="104">
        <v>5</v>
      </c>
      <c r="F40" s="104">
        <v>6</v>
      </c>
      <c r="G40" s="104">
        <v>7</v>
      </c>
      <c r="H40" s="104">
        <v>8</v>
      </c>
      <c r="I40" s="104">
        <v>9</v>
      </c>
      <c r="J40" s="104">
        <v>10</v>
      </c>
      <c r="K40" s="104">
        <v>11</v>
      </c>
      <c r="L40" s="53" t="s">
        <v>434</v>
      </c>
      <c r="M40" s="53" t="s">
        <v>435</v>
      </c>
    </row>
    <row r="41" spans="1:14" ht="38.25" x14ac:dyDescent="0.2">
      <c r="A41" s="125" t="s">
        <v>338</v>
      </c>
      <c r="B41" s="104">
        <v>1</v>
      </c>
      <c r="C41" s="113">
        <v>1</v>
      </c>
      <c r="D41" s="113">
        <v>1</v>
      </c>
      <c r="E41" s="113">
        <v>1</v>
      </c>
      <c r="F41" s="126">
        <f>23400-1110</f>
        <v>22290</v>
      </c>
      <c r="G41" s="126">
        <v>23400</v>
      </c>
      <c r="H41" s="126">
        <v>23400</v>
      </c>
      <c r="I41" s="33">
        <v>18436</v>
      </c>
      <c r="J41" s="33">
        <v>18436</v>
      </c>
      <c r="K41" s="33">
        <v>18436</v>
      </c>
      <c r="L41" s="53"/>
      <c r="M41" s="115">
        <f>I41-L41</f>
        <v>18436</v>
      </c>
      <c r="N41" s="30" t="s">
        <v>441</v>
      </c>
    </row>
    <row r="42" spans="1:14" hidden="1" x14ac:dyDescent="0.2">
      <c r="A42" s="125"/>
      <c r="B42" s="104">
        <v>2</v>
      </c>
      <c r="C42" s="113">
        <v>2</v>
      </c>
      <c r="D42" s="113">
        <v>0</v>
      </c>
      <c r="E42" s="113">
        <v>0</v>
      </c>
      <c r="F42" s="126"/>
      <c r="G42" s="126">
        <v>0</v>
      </c>
      <c r="H42" s="126">
        <v>0</v>
      </c>
      <c r="I42" s="33"/>
      <c r="J42" s="33">
        <v>0</v>
      </c>
      <c r="K42" s="33">
        <v>0</v>
      </c>
      <c r="L42" s="53"/>
      <c r="M42" s="127">
        <f>I42-L42</f>
        <v>0</v>
      </c>
      <c r="N42" s="30" t="s">
        <v>443</v>
      </c>
    </row>
    <row r="43" spans="1:14" x14ac:dyDescent="0.2">
      <c r="A43" s="31" t="s">
        <v>136</v>
      </c>
      <c r="B43" s="104">
        <v>9000</v>
      </c>
      <c r="C43" s="104" t="s">
        <v>12</v>
      </c>
      <c r="D43" s="104" t="s">
        <v>12</v>
      </c>
      <c r="E43" s="104" t="s">
        <v>12</v>
      </c>
      <c r="F43" s="104" t="s">
        <v>12</v>
      </c>
      <c r="G43" s="104" t="s">
        <v>12</v>
      </c>
      <c r="H43" s="104" t="s">
        <v>12</v>
      </c>
      <c r="I43" s="32">
        <f>SUM(I41:I42)</f>
        <v>18436</v>
      </c>
      <c r="J43" s="32">
        <f>SUM(J41:J42)</f>
        <v>18436</v>
      </c>
      <c r="K43" s="32">
        <f>SUM(K41:K42)</f>
        <v>18436</v>
      </c>
      <c r="L43" s="32">
        <f>SUM(L41:L42)</f>
        <v>0</v>
      </c>
      <c r="M43" s="32">
        <f>SUM(M41:M42)</f>
        <v>18436</v>
      </c>
    </row>
    <row r="44" spans="1:14" x14ac:dyDescent="0.2">
      <c r="L44" s="128"/>
      <c r="M44" s="128"/>
    </row>
    <row r="45" spans="1:14" x14ac:dyDescent="0.2">
      <c r="A45" s="95" t="str">
        <f>'3.13.1'!K9</f>
        <v>0701 0210075540 622</v>
      </c>
      <c r="L45" s="128"/>
      <c r="M45" s="128"/>
    </row>
    <row r="46" spans="1:14" ht="12.75" customHeight="1" x14ac:dyDescent="0.2">
      <c r="A46" s="237" t="s">
        <v>221</v>
      </c>
      <c r="B46" s="237" t="s">
        <v>1</v>
      </c>
      <c r="C46" s="237" t="s">
        <v>304</v>
      </c>
      <c r="D46" s="237"/>
      <c r="E46" s="237"/>
      <c r="F46" s="237" t="s">
        <v>305</v>
      </c>
      <c r="G46" s="237"/>
      <c r="H46" s="237"/>
      <c r="I46" s="237" t="s">
        <v>116</v>
      </c>
      <c r="J46" s="237"/>
      <c r="K46" s="237"/>
      <c r="L46" s="128"/>
      <c r="M46" s="128"/>
    </row>
    <row r="47" spans="1:14" x14ac:dyDescent="0.2">
      <c r="A47" s="237"/>
      <c r="B47" s="237"/>
      <c r="C47" s="104" t="s">
        <v>353</v>
      </c>
      <c r="D47" s="104" t="s">
        <v>455</v>
      </c>
      <c r="E47" s="104" t="s">
        <v>508</v>
      </c>
      <c r="F47" s="104" t="s">
        <v>353</v>
      </c>
      <c r="G47" s="104" t="s">
        <v>455</v>
      </c>
      <c r="H47" s="104" t="s">
        <v>508</v>
      </c>
      <c r="I47" s="104" t="s">
        <v>353</v>
      </c>
      <c r="J47" s="104" t="s">
        <v>455</v>
      </c>
      <c r="K47" s="104" t="s">
        <v>508</v>
      </c>
      <c r="L47" s="128"/>
      <c r="M47" s="128"/>
    </row>
    <row r="48" spans="1:14" ht="38.25" x14ac:dyDescent="0.2">
      <c r="A48" s="237"/>
      <c r="B48" s="237"/>
      <c r="C48" s="104" t="s">
        <v>79</v>
      </c>
      <c r="D48" s="104" t="s">
        <v>80</v>
      </c>
      <c r="E48" s="104" t="s">
        <v>81</v>
      </c>
      <c r="F48" s="104" t="s">
        <v>79</v>
      </c>
      <c r="G48" s="104" t="s">
        <v>80</v>
      </c>
      <c r="H48" s="104" t="s">
        <v>81</v>
      </c>
      <c r="I48" s="104" t="s">
        <v>79</v>
      </c>
      <c r="J48" s="104" t="s">
        <v>80</v>
      </c>
      <c r="K48" s="104" t="s">
        <v>81</v>
      </c>
      <c r="L48" s="128"/>
      <c r="M48" s="128"/>
    </row>
    <row r="49" spans="1:13" x14ac:dyDescent="0.2">
      <c r="A49" s="104">
        <v>1</v>
      </c>
      <c r="B49" s="104">
        <v>2</v>
      </c>
      <c r="C49" s="104">
        <v>3</v>
      </c>
      <c r="D49" s="104">
        <v>4</v>
      </c>
      <c r="E49" s="104">
        <v>5</v>
      </c>
      <c r="F49" s="104">
        <v>6</v>
      </c>
      <c r="G49" s="104">
        <v>7</v>
      </c>
      <c r="H49" s="104">
        <v>8</v>
      </c>
      <c r="I49" s="104">
        <v>9</v>
      </c>
      <c r="J49" s="104">
        <v>10</v>
      </c>
      <c r="K49" s="104">
        <v>11</v>
      </c>
      <c r="L49" s="53" t="s">
        <v>434</v>
      </c>
      <c r="M49" s="53" t="s">
        <v>435</v>
      </c>
    </row>
    <row r="50" spans="1:13" x14ac:dyDescent="0.2">
      <c r="A50" s="31" t="s">
        <v>316</v>
      </c>
      <c r="B50" s="104">
        <v>1</v>
      </c>
      <c r="C50" s="104">
        <v>1</v>
      </c>
      <c r="D50" s="104">
        <v>1</v>
      </c>
      <c r="E50" s="104">
        <v>1</v>
      </c>
      <c r="F50" s="103">
        <f>I50/C50</f>
        <v>67200</v>
      </c>
      <c r="G50" s="103">
        <f>J50/D50</f>
        <v>67200</v>
      </c>
      <c r="H50" s="103">
        <f>K50/E50</f>
        <v>67200</v>
      </c>
      <c r="I50" s="103">
        <v>67200</v>
      </c>
      <c r="J50" s="103">
        <v>67200</v>
      </c>
      <c r="K50" s="103">
        <v>67200</v>
      </c>
      <c r="L50" s="54"/>
      <c r="M50" s="54">
        <f>I50-L50</f>
        <v>67200</v>
      </c>
    </row>
    <row r="51" spans="1:13" x14ac:dyDescent="0.2">
      <c r="A51" s="31" t="s">
        <v>136</v>
      </c>
      <c r="B51" s="104">
        <v>9000</v>
      </c>
      <c r="C51" s="104" t="s">
        <v>12</v>
      </c>
      <c r="D51" s="104" t="s">
        <v>12</v>
      </c>
      <c r="E51" s="104" t="s">
        <v>12</v>
      </c>
      <c r="F51" s="104" t="s">
        <v>12</v>
      </c>
      <c r="G51" s="104" t="s">
        <v>12</v>
      </c>
      <c r="H51" s="104" t="s">
        <v>12</v>
      </c>
      <c r="I51" s="32">
        <f>SUM(I50)</f>
        <v>67200</v>
      </c>
      <c r="J51" s="32">
        <f>SUM(J50)</f>
        <v>67200</v>
      </c>
      <c r="K51" s="32">
        <f>SUM(K50)</f>
        <v>67200</v>
      </c>
      <c r="L51" s="55">
        <f>SUM(L50)</f>
        <v>0</v>
      </c>
      <c r="M51" s="55">
        <f>SUM(M50)</f>
        <v>67200</v>
      </c>
    </row>
    <row r="52" spans="1:13" x14ac:dyDescent="0.2">
      <c r="L52" s="128"/>
      <c r="M52" s="128"/>
    </row>
    <row r="53" spans="1:13" x14ac:dyDescent="0.2">
      <c r="A53" s="30" t="s">
        <v>339</v>
      </c>
      <c r="L53" s="128"/>
      <c r="M53" s="128"/>
    </row>
    <row r="54" spans="1:13" ht="12.75" customHeight="1" x14ac:dyDescent="0.2">
      <c r="A54" s="237" t="s">
        <v>221</v>
      </c>
      <c r="B54" s="237" t="s">
        <v>1</v>
      </c>
      <c r="C54" s="237" t="s">
        <v>304</v>
      </c>
      <c r="D54" s="237"/>
      <c r="E54" s="237"/>
      <c r="F54" s="237" t="s">
        <v>305</v>
      </c>
      <c r="G54" s="237"/>
      <c r="H54" s="237"/>
      <c r="I54" s="237" t="s">
        <v>116</v>
      </c>
      <c r="J54" s="237"/>
      <c r="K54" s="237"/>
      <c r="L54" s="128"/>
      <c r="M54" s="128"/>
    </row>
    <row r="55" spans="1:13" x14ac:dyDescent="0.2">
      <c r="A55" s="237"/>
      <c r="B55" s="237"/>
      <c r="C55" s="104" t="s">
        <v>353</v>
      </c>
      <c r="D55" s="104" t="s">
        <v>455</v>
      </c>
      <c r="E55" s="104" t="s">
        <v>508</v>
      </c>
      <c r="F55" s="104" t="s">
        <v>353</v>
      </c>
      <c r="G55" s="104" t="s">
        <v>455</v>
      </c>
      <c r="H55" s="104" t="s">
        <v>508</v>
      </c>
      <c r="I55" s="104" t="s">
        <v>353</v>
      </c>
      <c r="J55" s="104" t="s">
        <v>455</v>
      </c>
      <c r="K55" s="104" t="s">
        <v>508</v>
      </c>
      <c r="L55" s="128"/>
      <c r="M55" s="128"/>
    </row>
    <row r="56" spans="1:13" ht="38.25" x14ac:dyDescent="0.2">
      <c r="A56" s="237"/>
      <c r="B56" s="237"/>
      <c r="C56" s="104" t="s">
        <v>79</v>
      </c>
      <c r="D56" s="104" t="s">
        <v>80</v>
      </c>
      <c r="E56" s="104" t="s">
        <v>81</v>
      </c>
      <c r="F56" s="104" t="s">
        <v>79</v>
      </c>
      <c r="G56" s="104" t="s">
        <v>80</v>
      </c>
      <c r="H56" s="104" t="s">
        <v>81</v>
      </c>
      <c r="I56" s="104" t="s">
        <v>79</v>
      </c>
      <c r="J56" s="104" t="s">
        <v>80</v>
      </c>
      <c r="K56" s="104" t="s">
        <v>81</v>
      </c>
      <c r="L56" s="128"/>
      <c r="M56" s="128"/>
    </row>
    <row r="57" spans="1:13" x14ac:dyDescent="0.2">
      <c r="A57" s="104">
        <v>1</v>
      </c>
      <c r="B57" s="104">
        <v>2</v>
      </c>
      <c r="C57" s="104">
        <v>3</v>
      </c>
      <c r="D57" s="104">
        <v>4</v>
      </c>
      <c r="E57" s="104">
        <v>5</v>
      </c>
      <c r="F57" s="104">
        <v>6</v>
      </c>
      <c r="G57" s="104">
        <v>7</v>
      </c>
      <c r="H57" s="104">
        <v>8</v>
      </c>
      <c r="I57" s="104">
        <v>9</v>
      </c>
      <c r="J57" s="104">
        <v>10</v>
      </c>
      <c r="K57" s="104">
        <v>11</v>
      </c>
      <c r="L57" s="53" t="s">
        <v>434</v>
      </c>
      <c r="M57" s="53" t="s">
        <v>435</v>
      </c>
    </row>
    <row r="58" spans="1:13" x14ac:dyDescent="0.2">
      <c r="A58" s="129" t="s">
        <v>316</v>
      </c>
      <c r="B58" s="104">
        <v>1</v>
      </c>
      <c r="C58" s="113">
        <v>294</v>
      </c>
      <c r="D58" s="113">
        <v>294</v>
      </c>
      <c r="E58" s="113">
        <v>294</v>
      </c>
      <c r="F58" s="130">
        <f>I58/C58</f>
        <v>10629.142857142857</v>
      </c>
      <c r="G58" s="130">
        <f>J58/D58</f>
        <v>10629.142857142857</v>
      </c>
      <c r="H58" s="130">
        <f>K58/E58</f>
        <v>10629.142857142857</v>
      </c>
      <c r="I58" s="35">
        <v>3124968</v>
      </c>
      <c r="J58" s="35">
        <v>3124968</v>
      </c>
      <c r="K58" s="35">
        <v>3124968</v>
      </c>
      <c r="L58" s="131"/>
      <c r="M58" s="131">
        <f>I58-L58</f>
        <v>3124968</v>
      </c>
    </row>
    <row r="59" spans="1:13" x14ac:dyDescent="0.2">
      <c r="A59" s="31" t="s">
        <v>136</v>
      </c>
      <c r="B59" s="104">
        <v>9000</v>
      </c>
      <c r="C59" s="104" t="s">
        <v>12</v>
      </c>
      <c r="D59" s="104" t="s">
        <v>12</v>
      </c>
      <c r="E59" s="104" t="s">
        <v>12</v>
      </c>
      <c r="F59" s="104" t="s">
        <v>12</v>
      </c>
      <c r="G59" s="104" t="s">
        <v>12</v>
      </c>
      <c r="H59" s="104" t="s">
        <v>12</v>
      </c>
      <c r="I59" s="32">
        <f>SUM(I58)</f>
        <v>3124968</v>
      </c>
      <c r="J59" s="32">
        <f>SUM(J58)</f>
        <v>3124968</v>
      </c>
      <c r="K59" s="32">
        <f>SUM(K58)</f>
        <v>3124968</v>
      </c>
      <c r="L59" s="132">
        <f>SUM(L58)</f>
        <v>0</v>
      </c>
      <c r="M59" s="132">
        <f>SUM(M58)</f>
        <v>3124968</v>
      </c>
    </row>
    <row r="60" spans="1:13" x14ac:dyDescent="0.2">
      <c r="A60" s="133"/>
      <c r="B60" s="108"/>
      <c r="C60" s="108"/>
      <c r="D60" s="108"/>
      <c r="E60" s="108"/>
      <c r="F60" s="108"/>
      <c r="G60" s="108"/>
      <c r="H60" s="108"/>
      <c r="I60" s="134"/>
      <c r="J60" s="135"/>
      <c r="K60" s="135"/>
      <c r="L60" s="128"/>
      <c r="M60" s="128"/>
    </row>
    <row r="61" spans="1:13" x14ac:dyDescent="0.2">
      <c r="A61" s="30" t="str">
        <f>'3.13.1'!N9</f>
        <v>0701 4200099000 849                          (остаток на начало текущего финансового года)</v>
      </c>
      <c r="L61" s="128"/>
      <c r="M61" s="128"/>
    </row>
    <row r="62" spans="1:13" ht="12.75" customHeight="1" x14ac:dyDescent="0.2">
      <c r="A62" s="237" t="s">
        <v>221</v>
      </c>
      <c r="B62" s="237" t="s">
        <v>1</v>
      </c>
      <c r="C62" s="237" t="s">
        <v>304</v>
      </c>
      <c r="D62" s="237"/>
      <c r="E62" s="237"/>
      <c r="F62" s="237" t="s">
        <v>305</v>
      </c>
      <c r="G62" s="237"/>
      <c r="H62" s="237"/>
      <c r="I62" s="237" t="s">
        <v>116</v>
      </c>
      <c r="J62" s="237"/>
      <c r="K62" s="237"/>
      <c r="L62" s="128"/>
      <c r="M62" s="128"/>
    </row>
    <row r="63" spans="1:13" x14ac:dyDescent="0.2">
      <c r="A63" s="237"/>
      <c r="B63" s="237"/>
      <c r="C63" s="104" t="s">
        <v>353</v>
      </c>
      <c r="D63" s="104" t="s">
        <v>455</v>
      </c>
      <c r="E63" s="104" t="s">
        <v>508</v>
      </c>
      <c r="F63" s="104" t="s">
        <v>353</v>
      </c>
      <c r="G63" s="104" t="s">
        <v>455</v>
      </c>
      <c r="H63" s="104" t="s">
        <v>508</v>
      </c>
      <c r="I63" s="104" t="s">
        <v>353</v>
      </c>
      <c r="J63" s="104" t="s">
        <v>455</v>
      </c>
      <c r="K63" s="104" t="s">
        <v>508</v>
      </c>
      <c r="L63" s="128"/>
      <c r="M63" s="128"/>
    </row>
    <row r="64" spans="1:13" ht="38.25" x14ac:dyDescent="0.2">
      <c r="A64" s="237"/>
      <c r="B64" s="237"/>
      <c r="C64" s="104" t="s">
        <v>79</v>
      </c>
      <c r="D64" s="104" t="s">
        <v>80</v>
      </c>
      <c r="E64" s="104" t="s">
        <v>81</v>
      </c>
      <c r="F64" s="104" t="s">
        <v>79</v>
      </c>
      <c r="G64" s="104" t="s">
        <v>80</v>
      </c>
      <c r="H64" s="104" t="s">
        <v>81</v>
      </c>
      <c r="I64" s="104" t="s">
        <v>79</v>
      </c>
      <c r="J64" s="104" t="s">
        <v>80</v>
      </c>
      <c r="K64" s="104" t="s">
        <v>81</v>
      </c>
      <c r="L64" s="128"/>
      <c r="M64" s="128"/>
    </row>
    <row r="65" spans="1:14" x14ac:dyDescent="0.2">
      <c r="A65" s="104">
        <v>1</v>
      </c>
      <c r="B65" s="104">
        <v>2</v>
      </c>
      <c r="C65" s="104">
        <v>3</v>
      </c>
      <c r="D65" s="104">
        <v>4</v>
      </c>
      <c r="E65" s="104">
        <v>5</v>
      </c>
      <c r="F65" s="104">
        <v>6</v>
      </c>
      <c r="G65" s="104">
        <v>7</v>
      </c>
      <c r="H65" s="104">
        <v>8</v>
      </c>
      <c r="I65" s="104">
        <v>9</v>
      </c>
      <c r="J65" s="104">
        <v>10</v>
      </c>
      <c r="K65" s="104">
        <v>11</v>
      </c>
      <c r="L65" s="53" t="s">
        <v>434</v>
      </c>
      <c r="M65" s="53" t="s">
        <v>435</v>
      </c>
    </row>
    <row r="66" spans="1:14" x14ac:dyDescent="0.2">
      <c r="A66" s="129" t="s">
        <v>316</v>
      </c>
      <c r="B66" s="104">
        <v>1</v>
      </c>
      <c r="C66" s="113">
        <v>294</v>
      </c>
      <c r="D66" s="113">
        <v>0</v>
      </c>
      <c r="E66" s="113">
        <v>0</v>
      </c>
      <c r="F66" s="130">
        <f>I66/C66</f>
        <v>626.79027210884351</v>
      </c>
      <c r="G66" s="130">
        <v>0</v>
      </c>
      <c r="H66" s="130">
        <v>0</v>
      </c>
      <c r="I66" s="35">
        <v>184276.34</v>
      </c>
      <c r="J66" s="136">
        <f>D66*G66</f>
        <v>0</v>
      </c>
      <c r="K66" s="136">
        <f>E66*H66</f>
        <v>0</v>
      </c>
      <c r="L66" s="54"/>
      <c r="M66" s="54">
        <f>I66-L66</f>
        <v>184276.34</v>
      </c>
    </row>
    <row r="67" spans="1:14" x14ac:dyDescent="0.2">
      <c r="A67" s="31" t="s">
        <v>136</v>
      </c>
      <c r="B67" s="104">
        <v>9000</v>
      </c>
      <c r="C67" s="104" t="s">
        <v>12</v>
      </c>
      <c r="D67" s="104" t="s">
        <v>12</v>
      </c>
      <c r="E67" s="104" t="s">
        <v>12</v>
      </c>
      <c r="F67" s="104" t="s">
        <v>12</v>
      </c>
      <c r="G67" s="104" t="s">
        <v>12</v>
      </c>
      <c r="H67" s="104" t="s">
        <v>12</v>
      </c>
      <c r="I67" s="32">
        <f>SUM(I66)</f>
        <v>184276.34</v>
      </c>
      <c r="J67" s="32">
        <f>SUM(J66)</f>
        <v>0</v>
      </c>
      <c r="K67" s="32">
        <f>SUM(K66)</f>
        <v>0</v>
      </c>
      <c r="L67" s="55">
        <f>SUM(L66)</f>
        <v>0</v>
      </c>
      <c r="M67" s="55">
        <f>SUM(M66)</f>
        <v>184276.34</v>
      </c>
    </row>
    <row r="68" spans="1:14" x14ac:dyDescent="0.2">
      <c r="A68" s="133"/>
      <c r="B68" s="108"/>
      <c r="C68" s="108"/>
      <c r="D68" s="108"/>
      <c r="E68" s="108"/>
      <c r="F68" s="108"/>
      <c r="G68" s="108"/>
      <c r="H68" s="108"/>
      <c r="I68" s="134"/>
      <c r="J68" s="134"/>
      <c r="K68" s="134"/>
      <c r="L68" s="128"/>
      <c r="M68" s="128"/>
    </row>
    <row r="69" spans="1:14" x14ac:dyDescent="0.2">
      <c r="A69" s="30" t="str">
        <f>'3.13.1'!M9</f>
        <v>0701 4200099000 853</v>
      </c>
      <c r="L69" s="128"/>
      <c r="M69" s="128"/>
    </row>
    <row r="70" spans="1:14" ht="12.75" customHeight="1" x14ac:dyDescent="0.2">
      <c r="A70" s="237" t="s">
        <v>221</v>
      </c>
      <c r="B70" s="237" t="s">
        <v>1</v>
      </c>
      <c r="C70" s="237" t="s">
        <v>304</v>
      </c>
      <c r="D70" s="237"/>
      <c r="E70" s="237"/>
      <c r="F70" s="237" t="s">
        <v>305</v>
      </c>
      <c r="G70" s="237"/>
      <c r="H70" s="237"/>
      <c r="I70" s="237" t="s">
        <v>116</v>
      </c>
      <c r="J70" s="237"/>
      <c r="K70" s="237"/>
      <c r="L70" s="128"/>
      <c r="M70" s="128"/>
    </row>
    <row r="71" spans="1:14" x14ac:dyDescent="0.2">
      <c r="A71" s="237"/>
      <c r="B71" s="237"/>
      <c r="C71" s="104" t="s">
        <v>331</v>
      </c>
      <c r="D71" s="104" t="s">
        <v>353</v>
      </c>
      <c r="E71" s="104" t="s">
        <v>458</v>
      </c>
      <c r="F71" s="104" t="s">
        <v>331</v>
      </c>
      <c r="G71" s="104" t="s">
        <v>353</v>
      </c>
      <c r="H71" s="104" t="s">
        <v>458</v>
      </c>
      <c r="I71" s="104" t="s">
        <v>331</v>
      </c>
      <c r="J71" s="104" t="s">
        <v>353</v>
      </c>
      <c r="K71" s="104" t="s">
        <v>458</v>
      </c>
      <c r="L71" s="128"/>
      <c r="M71" s="128"/>
    </row>
    <row r="72" spans="1:14" ht="38.25" x14ac:dyDescent="0.2">
      <c r="A72" s="237"/>
      <c r="B72" s="237"/>
      <c r="C72" s="104" t="s">
        <v>79</v>
      </c>
      <c r="D72" s="104" t="s">
        <v>80</v>
      </c>
      <c r="E72" s="104" t="s">
        <v>81</v>
      </c>
      <c r="F72" s="104" t="s">
        <v>79</v>
      </c>
      <c r="G72" s="104" t="s">
        <v>80</v>
      </c>
      <c r="H72" s="104" t="s">
        <v>81</v>
      </c>
      <c r="I72" s="104" t="s">
        <v>79</v>
      </c>
      <c r="J72" s="104" t="s">
        <v>80</v>
      </c>
      <c r="K72" s="104" t="s">
        <v>81</v>
      </c>
      <c r="L72" s="128"/>
      <c r="M72" s="128"/>
    </row>
    <row r="73" spans="1:14" x14ac:dyDescent="0.2">
      <c r="A73" s="104">
        <v>1</v>
      </c>
      <c r="B73" s="104">
        <v>2</v>
      </c>
      <c r="C73" s="104">
        <v>3</v>
      </c>
      <c r="D73" s="104">
        <v>4</v>
      </c>
      <c r="E73" s="104">
        <v>5</v>
      </c>
      <c r="F73" s="104">
        <v>6</v>
      </c>
      <c r="G73" s="104">
        <v>7</v>
      </c>
      <c r="H73" s="104">
        <v>8</v>
      </c>
      <c r="I73" s="104">
        <v>9</v>
      </c>
      <c r="J73" s="104">
        <v>10</v>
      </c>
      <c r="K73" s="104">
        <v>11</v>
      </c>
      <c r="L73" s="53" t="s">
        <v>434</v>
      </c>
      <c r="M73" s="53" t="s">
        <v>435</v>
      </c>
    </row>
    <row r="74" spans="1:14" ht="25.5" x14ac:dyDescent="0.2">
      <c r="A74" s="129" t="s">
        <v>501</v>
      </c>
      <c r="B74" s="104">
        <v>1</v>
      </c>
      <c r="C74" s="113">
        <v>5</v>
      </c>
      <c r="D74" s="113">
        <v>0</v>
      </c>
      <c r="E74" s="113">
        <v>0</v>
      </c>
      <c r="F74" s="130">
        <f>I74/C74</f>
        <v>4626.8</v>
      </c>
      <c r="G74" s="137">
        <v>0</v>
      </c>
      <c r="H74" s="130">
        <v>0</v>
      </c>
      <c r="I74" s="35">
        <v>23134</v>
      </c>
      <c r="J74" s="136">
        <v>0</v>
      </c>
      <c r="K74" s="136">
        <v>0</v>
      </c>
      <c r="L74" s="54">
        <v>0</v>
      </c>
      <c r="M74" s="54">
        <f>I74-L74</f>
        <v>23134</v>
      </c>
      <c r="N74" s="30" t="s">
        <v>440</v>
      </c>
    </row>
    <row r="75" spans="1:14" ht="25.5" x14ac:dyDescent="0.2">
      <c r="A75" s="129" t="s">
        <v>500</v>
      </c>
      <c r="B75" s="104">
        <v>2</v>
      </c>
      <c r="C75" s="113">
        <v>25</v>
      </c>
      <c r="D75" s="113">
        <v>0</v>
      </c>
      <c r="E75" s="113">
        <v>0</v>
      </c>
      <c r="F75" s="130">
        <f>I75/C75</f>
        <v>1600</v>
      </c>
      <c r="G75" s="137">
        <v>0</v>
      </c>
      <c r="H75" s="130">
        <v>0</v>
      </c>
      <c r="I75" s="35">
        <v>40000</v>
      </c>
      <c r="J75" s="136">
        <v>0</v>
      </c>
      <c r="K75" s="136">
        <v>0</v>
      </c>
      <c r="L75" s="54">
        <v>0</v>
      </c>
      <c r="M75" s="54">
        <f>I75-L75</f>
        <v>40000</v>
      </c>
    </row>
    <row r="76" spans="1:14" x14ac:dyDescent="0.2">
      <c r="A76" s="31" t="s">
        <v>136</v>
      </c>
      <c r="B76" s="104">
        <v>9000</v>
      </c>
      <c r="C76" s="104" t="s">
        <v>12</v>
      </c>
      <c r="D76" s="104" t="s">
        <v>12</v>
      </c>
      <c r="E76" s="104" t="s">
        <v>12</v>
      </c>
      <c r="F76" s="104" t="s">
        <v>12</v>
      </c>
      <c r="G76" s="104" t="s">
        <v>12</v>
      </c>
      <c r="H76" s="104" t="s">
        <v>12</v>
      </c>
      <c r="I76" s="32">
        <f>SUM(I74:I75)</f>
        <v>63134</v>
      </c>
      <c r="J76" s="32">
        <f>SUM(J74:J75)</f>
        <v>0</v>
      </c>
      <c r="K76" s="32">
        <f>SUM(K74:K75)</f>
        <v>0</v>
      </c>
      <c r="L76" s="32">
        <f>SUM(L74:L75)</f>
        <v>0</v>
      </c>
      <c r="M76" s="32">
        <f>SUM(M74:M75)</f>
        <v>63134</v>
      </c>
    </row>
    <row r="77" spans="1:14" hidden="1" x14ac:dyDescent="0.2">
      <c r="A77" s="133"/>
      <c r="B77" s="108"/>
      <c r="C77" s="108"/>
      <c r="D77" s="108"/>
      <c r="E77" s="108"/>
      <c r="F77" s="108"/>
      <c r="G77" s="108"/>
      <c r="H77" s="108"/>
      <c r="I77" s="134"/>
      <c r="J77" s="134"/>
      <c r="K77" s="134"/>
      <c r="L77" s="138"/>
      <c r="M77" s="138"/>
    </row>
    <row r="78" spans="1:14" ht="13.5" hidden="1" customHeight="1" x14ac:dyDescent="0.2">
      <c r="A78" s="95" t="str">
        <f>'3.13.1'!E9</f>
        <v>0701 0210080610 622</v>
      </c>
      <c r="L78" s="128"/>
      <c r="M78" s="128"/>
    </row>
    <row r="79" spans="1:14" ht="12.75" hidden="1" customHeight="1" x14ac:dyDescent="0.2">
      <c r="A79" s="237" t="s">
        <v>221</v>
      </c>
      <c r="B79" s="237" t="s">
        <v>1</v>
      </c>
      <c r="C79" s="237" t="s">
        <v>304</v>
      </c>
      <c r="D79" s="237"/>
      <c r="E79" s="237"/>
      <c r="F79" s="237" t="s">
        <v>305</v>
      </c>
      <c r="G79" s="237"/>
      <c r="H79" s="237"/>
      <c r="I79" s="237" t="s">
        <v>116</v>
      </c>
      <c r="J79" s="237"/>
      <c r="K79" s="237"/>
      <c r="L79" s="128"/>
      <c r="M79" s="128"/>
    </row>
    <row r="80" spans="1:14" hidden="1" x14ac:dyDescent="0.2">
      <c r="A80" s="237"/>
      <c r="B80" s="237"/>
      <c r="C80" s="104" t="s">
        <v>353</v>
      </c>
      <c r="D80" s="104" t="s">
        <v>455</v>
      </c>
      <c r="E80" s="104" t="s">
        <v>508</v>
      </c>
      <c r="F80" s="104" t="s">
        <v>353</v>
      </c>
      <c r="G80" s="104" t="s">
        <v>455</v>
      </c>
      <c r="H80" s="104" t="s">
        <v>508</v>
      </c>
      <c r="I80" s="104" t="s">
        <v>353</v>
      </c>
      <c r="J80" s="104" t="s">
        <v>455</v>
      </c>
      <c r="K80" s="104" t="s">
        <v>508</v>
      </c>
      <c r="L80" s="128"/>
      <c r="M80" s="128"/>
    </row>
    <row r="81" spans="1:13" ht="38.25" hidden="1" x14ac:dyDescent="0.2">
      <c r="A81" s="237"/>
      <c r="B81" s="237"/>
      <c r="C81" s="104" t="s">
        <v>79</v>
      </c>
      <c r="D81" s="104" t="s">
        <v>80</v>
      </c>
      <c r="E81" s="104" t="s">
        <v>81</v>
      </c>
      <c r="F81" s="104" t="s">
        <v>79</v>
      </c>
      <c r="G81" s="104" t="s">
        <v>80</v>
      </c>
      <c r="H81" s="104" t="s">
        <v>81</v>
      </c>
      <c r="I81" s="104" t="s">
        <v>79</v>
      </c>
      <c r="J81" s="104" t="s">
        <v>80</v>
      </c>
      <c r="K81" s="104" t="s">
        <v>81</v>
      </c>
      <c r="L81" s="128"/>
      <c r="M81" s="128"/>
    </row>
    <row r="82" spans="1:13" hidden="1" x14ac:dyDescent="0.2">
      <c r="A82" s="104">
        <v>1</v>
      </c>
      <c r="B82" s="104">
        <v>2</v>
      </c>
      <c r="C82" s="104">
        <v>3</v>
      </c>
      <c r="D82" s="104">
        <v>4</v>
      </c>
      <c r="E82" s="104">
        <v>5</v>
      </c>
      <c r="F82" s="104">
        <v>6</v>
      </c>
      <c r="G82" s="104">
        <v>7</v>
      </c>
      <c r="H82" s="104">
        <v>8</v>
      </c>
      <c r="I82" s="104">
        <v>9</v>
      </c>
      <c r="J82" s="104">
        <v>10</v>
      </c>
      <c r="K82" s="104">
        <v>11</v>
      </c>
      <c r="L82" s="53" t="s">
        <v>434</v>
      </c>
      <c r="M82" s="53" t="s">
        <v>435</v>
      </c>
    </row>
    <row r="83" spans="1:13" hidden="1" x14ac:dyDescent="0.2">
      <c r="A83" s="31"/>
      <c r="B83" s="104">
        <v>1</v>
      </c>
      <c r="C83" s="31">
        <v>25</v>
      </c>
      <c r="D83" s="31">
        <v>1</v>
      </c>
      <c r="E83" s="31">
        <v>1</v>
      </c>
      <c r="F83" s="103">
        <f>I83/C83</f>
        <v>0</v>
      </c>
      <c r="G83" s="103">
        <v>0</v>
      </c>
      <c r="H83" s="103">
        <v>0</v>
      </c>
      <c r="I83" s="103"/>
      <c r="J83" s="103">
        <f>D83*G83</f>
        <v>0</v>
      </c>
      <c r="K83" s="103">
        <f>E83*H83</f>
        <v>0</v>
      </c>
      <c r="L83" s="54"/>
      <c r="M83" s="54">
        <f>I83-L83</f>
        <v>0</v>
      </c>
    </row>
    <row r="84" spans="1:13" hidden="1" x14ac:dyDescent="0.2">
      <c r="A84" s="31" t="s">
        <v>136</v>
      </c>
      <c r="B84" s="104">
        <v>9000</v>
      </c>
      <c r="C84" s="104" t="s">
        <v>12</v>
      </c>
      <c r="D84" s="104" t="s">
        <v>12</v>
      </c>
      <c r="E84" s="104" t="s">
        <v>12</v>
      </c>
      <c r="F84" s="104" t="s">
        <v>12</v>
      </c>
      <c r="G84" s="104" t="s">
        <v>12</v>
      </c>
      <c r="H84" s="104" t="s">
        <v>12</v>
      </c>
      <c r="I84" s="32">
        <f>SUM(I83:I83)</f>
        <v>0</v>
      </c>
      <c r="J84" s="103">
        <f>SUM(J83:J83)</f>
        <v>0</v>
      </c>
      <c r="K84" s="103">
        <f>SUM(K83:K83)</f>
        <v>0</v>
      </c>
      <c r="L84" s="55">
        <f>SUM(L83)</f>
        <v>0</v>
      </c>
      <c r="M84" s="55">
        <f>SUM(M83)</f>
        <v>0</v>
      </c>
    </row>
    <row r="85" spans="1:13" hidden="1" x14ac:dyDescent="0.2">
      <c r="A85" s="133"/>
      <c r="B85" s="108"/>
      <c r="C85" s="108"/>
      <c r="D85" s="108"/>
      <c r="E85" s="108"/>
      <c r="F85" s="108"/>
      <c r="G85" s="108"/>
      <c r="H85" s="108"/>
      <c r="I85" s="134"/>
      <c r="J85" s="135"/>
      <c r="K85" s="135"/>
      <c r="L85" s="138"/>
      <c r="M85" s="138"/>
    </row>
    <row r="86" spans="1:13" hidden="1" x14ac:dyDescent="0.2">
      <c r="A86" s="95" t="s">
        <v>504</v>
      </c>
      <c r="L86" s="128"/>
      <c r="M86" s="128"/>
    </row>
    <row r="87" spans="1:13" ht="12.75" hidden="1" customHeight="1" x14ac:dyDescent="0.2">
      <c r="A87" s="239" t="s">
        <v>221</v>
      </c>
      <c r="B87" s="239" t="s">
        <v>1</v>
      </c>
      <c r="C87" s="251" t="s">
        <v>304</v>
      </c>
      <c r="D87" s="252"/>
      <c r="E87" s="253"/>
      <c r="F87" s="251" t="s">
        <v>305</v>
      </c>
      <c r="G87" s="252"/>
      <c r="H87" s="253"/>
      <c r="I87" s="251" t="s">
        <v>116</v>
      </c>
      <c r="J87" s="252"/>
      <c r="K87" s="253"/>
      <c r="L87" s="128"/>
      <c r="M87" s="128"/>
    </row>
    <row r="88" spans="1:13" hidden="1" x14ac:dyDescent="0.2">
      <c r="A88" s="240"/>
      <c r="B88" s="240"/>
      <c r="C88" s="104" t="s">
        <v>353</v>
      </c>
      <c r="D88" s="104" t="s">
        <v>455</v>
      </c>
      <c r="E88" s="104" t="s">
        <v>508</v>
      </c>
      <c r="F88" s="104" t="s">
        <v>353</v>
      </c>
      <c r="G88" s="104" t="s">
        <v>455</v>
      </c>
      <c r="H88" s="104" t="s">
        <v>508</v>
      </c>
      <c r="I88" s="104" t="s">
        <v>353</v>
      </c>
      <c r="J88" s="104" t="s">
        <v>455</v>
      </c>
      <c r="K88" s="104" t="s">
        <v>508</v>
      </c>
      <c r="L88" s="128"/>
      <c r="M88" s="128"/>
    </row>
    <row r="89" spans="1:13" ht="38.25" hidden="1" x14ac:dyDescent="0.2">
      <c r="A89" s="241"/>
      <c r="B89" s="241"/>
      <c r="C89" s="104" t="s">
        <v>79</v>
      </c>
      <c r="D89" s="104" t="s">
        <v>80</v>
      </c>
      <c r="E89" s="104" t="s">
        <v>81</v>
      </c>
      <c r="F89" s="104" t="s">
        <v>79</v>
      </c>
      <c r="G89" s="104" t="s">
        <v>80</v>
      </c>
      <c r="H89" s="104" t="s">
        <v>81</v>
      </c>
      <c r="I89" s="104" t="s">
        <v>79</v>
      </c>
      <c r="J89" s="104" t="s">
        <v>80</v>
      </c>
      <c r="K89" s="104" t="s">
        <v>81</v>
      </c>
      <c r="L89" s="128"/>
      <c r="M89" s="128"/>
    </row>
    <row r="90" spans="1:13" hidden="1" x14ac:dyDescent="0.2">
      <c r="A90" s="104">
        <v>1</v>
      </c>
      <c r="B90" s="104">
        <v>2</v>
      </c>
      <c r="C90" s="104">
        <v>3</v>
      </c>
      <c r="D90" s="104">
        <v>4</v>
      </c>
      <c r="E90" s="104">
        <v>5</v>
      </c>
      <c r="F90" s="104">
        <v>6</v>
      </c>
      <c r="G90" s="104">
        <v>7</v>
      </c>
      <c r="H90" s="104">
        <v>8</v>
      </c>
      <c r="I90" s="104">
        <v>9</v>
      </c>
      <c r="J90" s="104">
        <v>10</v>
      </c>
      <c r="K90" s="104">
        <v>11</v>
      </c>
      <c r="L90" s="53" t="s">
        <v>434</v>
      </c>
      <c r="M90" s="53" t="s">
        <v>435</v>
      </c>
    </row>
    <row r="91" spans="1:13" hidden="1" x14ac:dyDescent="0.2">
      <c r="A91" s="31"/>
      <c r="B91" s="104">
        <v>1</v>
      </c>
      <c r="C91" s="31">
        <v>1</v>
      </c>
      <c r="D91" s="31">
        <v>1</v>
      </c>
      <c r="E91" s="31">
        <v>1</v>
      </c>
      <c r="F91" s="103">
        <f>I91/C91</f>
        <v>0</v>
      </c>
      <c r="G91" s="103">
        <v>0</v>
      </c>
      <c r="H91" s="103">
        <v>0</v>
      </c>
      <c r="I91" s="103"/>
      <c r="J91" s="103">
        <f>D91*G91</f>
        <v>0</v>
      </c>
      <c r="K91" s="103">
        <f>E91*H91</f>
        <v>0</v>
      </c>
      <c r="L91" s="54"/>
      <c r="M91" s="54">
        <f>I91-L91</f>
        <v>0</v>
      </c>
    </row>
    <row r="92" spans="1:13" hidden="1" x14ac:dyDescent="0.2">
      <c r="A92" s="31" t="s">
        <v>136</v>
      </c>
      <c r="B92" s="104">
        <v>9000</v>
      </c>
      <c r="C92" s="104" t="s">
        <v>12</v>
      </c>
      <c r="D92" s="104" t="s">
        <v>12</v>
      </c>
      <c r="E92" s="104" t="s">
        <v>12</v>
      </c>
      <c r="F92" s="104" t="s">
        <v>12</v>
      </c>
      <c r="G92" s="104" t="s">
        <v>12</v>
      </c>
      <c r="H92" s="104" t="s">
        <v>12</v>
      </c>
      <c r="I92" s="32">
        <f>SUM(I91:I91)</f>
        <v>0</v>
      </c>
      <c r="J92" s="103">
        <f>SUM(J91:J91)</f>
        <v>0</v>
      </c>
      <c r="K92" s="103">
        <f>SUM(K91:K91)</f>
        <v>0</v>
      </c>
      <c r="L92" s="55">
        <f>SUM(L91)</f>
        <v>0</v>
      </c>
      <c r="M92" s="55">
        <f>SUM(M91)</f>
        <v>0</v>
      </c>
    </row>
    <row r="93" spans="1:13" x14ac:dyDescent="0.2">
      <c r="I93" s="139"/>
      <c r="L93" s="56">
        <f>L76+L67+L59+L51+L43+L34+L21+L84+L92</f>
        <v>0</v>
      </c>
      <c r="M93" s="56">
        <f>M76+M67+M59+M51+M43+M34+M21+M84+M92</f>
        <v>6314814.3399999999</v>
      </c>
    </row>
    <row r="95" spans="1:13" x14ac:dyDescent="0.2">
      <c r="A95" s="140"/>
      <c r="B95" s="141"/>
      <c r="C95" s="140"/>
      <c r="D95" s="140"/>
    </row>
    <row r="96" spans="1:13" x14ac:dyDescent="0.2">
      <c r="A96" s="140"/>
      <c r="B96" s="140"/>
      <c r="C96" s="140"/>
      <c r="D96" s="140"/>
    </row>
    <row r="97" spans="1:4" x14ac:dyDescent="0.2">
      <c r="A97" s="140"/>
      <c r="B97" s="140"/>
      <c r="C97" s="140"/>
      <c r="D97" s="140"/>
    </row>
    <row r="98" spans="1:4" x14ac:dyDescent="0.2">
      <c r="A98" s="140"/>
      <c r="B98" s="140"/>
      <c r="C98" s="140"/>
      <c r="D98" s="140"/>
    </row>
  </sheetData>
  <mergeCells count="45">
    <mergeCell ref="A70:A72"/>
    <mergeCell ref="B70:B72"/>
    <mergeCell ref="C70:E70"/>
    <mergeCell ref="F70:H70"/>
    <mergeCell ref="I70:K70"/>
    <mergeCell ref="A62:A64"/>
    <mergeCell ref="B62:B64"/>
    <mergeCell ref="C62:E62"/>
    <mergeCell ref="F62:H62"/>
    <mergeCell ref="I62:K62"/>
    <mergeCell ref="A4:A6"/>
    <mergeCell ref="B4:B6"/>
    <mergeCell ref="C4:E4"/>
    <mergeCell ref="F4:H4"/>
    <mergeCell ref="I4:K4"/>
    <mergeCell ref="A24:A26"/>
    <mergeCell ref="B24:B26"/>
    <mergeCell ref="C24:E24"/>
    <mergeCell ref="F24:H24"/>
    <mergeCell ref="I24:K24"/>
    <mergeCell ref="A37:A39"/>
    <mergeCell ref="B37:B39"/>
    <mergeCell ref="C37:E37"/>
    <mergeCell ref="F37:H37"/>
    <mergeCell ref="I37:K37"/>
    <mergeCell ref="A54:A56"/>
    <mergeCell ref="B54:B56"/>
    <mergeCell ref="C54:E54"/>
    <mergeCell ref="F54:H54"/>
    <mergeCell ref="I54:K54"/>
    <mergeCell ref="A46:A48"/>
    <mergeCell ref="B46:B48"/>
    <mergeCell ref="C46:E46"/>
    <mergeCell ref="F46:H46"/>
    <mergeCell ref="I46:K46"/>
    <mergeCell ref="A87:A89"/>
    <mergeCell ref="B87:B89"/>
    <mergeCell ref="C87:E87"/>
    <mergeCell ref="F87:H87"/>
    <mergeCell ref="I87:K87"/>
    <mergeCell ref="A79:A81"/>
    <mergeCell ref="B79:B81"/>
    <mergeCell ref="C79:E79"/>
    <mergeCell ref="F79:H79"/>
    <mergeCell ref="I79:K79"/>
  </mergeCells>
  <pageMargins left="0.31496062992125984" right="0.11811023622047245" top="0.74803149606299213" bottom="0.35433070866141736" header="0.11811023622047245" footer="0.11811023622047245"/>
  <pageSetup paperSize="9" scale="92" fitToHeight="3" orientation="landscape" r:id="rId1"/>
  <rowBreaks count="1" manualBreakCount="1">
    <brk id="34" max="16383" man="1"/>
  </rowBreaks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K13"/>
  <sheetViews>
    <sheetView zoomScaleNormal="100" workbookViewId="0">
      <selection activeCell="D47" sqref="D47"/>
    </sheetView>
  </sheetViews>
  <sheetFormatPr defaultColWidth="9.140625" defaultRowHeight="12.75" x14ac:dyDescent="0.2"/>
  <cols>
    <col min="1" max="1" width="31.5703125" style="2" customWidth="1"/>
    <col min="2" max="2" width="9.140625" style="2"/>
    <col min="3" max="11" width="13.140625" style="2" customWidth="1"/>
    <col min="12" max="16384" width="9.140625" style="2"/>
  </cols>
  <sheetData>
    <row r="1" spans="1:11" x14ac:dyDescent="0.2">
      <c r="A1" s="2" t="s">
        <v>137</v>
      </c>
    </row>
    <row r="3" spans="1:11" x14ac:dyDescent="0.2">
      <c r="A3" s="231" t="s">
        <v>129</v>
      </c>
      <c r="B3" s="231" t="s">
        <v>1</v>
      </c>
      <c r="C3" s="231" t="s">
        <v>130</v>
      </c>
      <c r="D3" s="231"/>
      <c r="E3" s="231"/>
      <c r="F3" s="231" t="s">
        <v>131</v>
      </c>
      <c r="G3" s="231"/>
      <c r="H3" s="231"/>
      <c r="I3" s="231" t="s">
        <v>132</v>
      </c>
      <c r="J3" s="231"/>
      <c r="K3" s="231"/>
    </row>
    <row r="4" spans="1:11" x14ac:dyDescent="0.2">
      <c r="A4" s="231"/>
      <c r="B4" s="231"/>
      <c r="C4" s="4" t="s">
        <v>4</v>
      </c>
      <c r="D4" s="4" t="s">
        <v>4</v>
      </c>
      <c r="E4" s="4" t="s">
        <v>4</v>
      </c>
      <c r="F4" s="4" t="s">
        <v>4</v>
      </c>
      <c r="G4" s="4" t="s">
        <v>4</v>
      </c>
      <c r="H4" s="4" t="s">
        <v>4</v>
      </c>
      <c r="I4" s="4" t="s">
        <v>4</v>
      </c>
      <c r="J4" s="1" t="s">
        <v>4</v>
      </c>
      <c r="K4" s="1" t="s">
        <v>4</v>
      </c>
    </row>
    <row r="5" spans="1:11" ht="38.25" x14ac:dyDescent="0.2">
      <c r="A5" s="231"/>
      <c r="B5" s="231"/>
      <c r="C5" s="1" t="s">
        <v>79</v>
      </c>
      <c r="D5" s="1" t="s">
        <v>80</v>
      </c>
      <c r="E5" s="1" t="s">
        <v>81</v>
      </c>
      <c r="F5" s="1" t="s">
        <v>79</v>
      </c>
      <c r="G5" s="1" t="s">
        <v>80</v>
      </c>
      <c r="H5" s="1" t="s">
        <v>81</v>
      </c>
      <c r="I5" s="1" t="s">
        <v>79</v>
      </c>
      <c r="J5" s="1" t="s">
        <v>80</v>
      </c>
      <c r="K5" s="1" t="s">
        <v>81</v>
      </c>
    </row>
    <row r="6" spans="1:11" x14ac:dyDescent="0.2">
      <c r="A6" s="1">
        <v>1</v>
      </c>
      <c r="B6" s="1">
        <v>2</v>
      </c>
      <c r="C6" s="1">
        <v>3</v>
      </c>
      <c r="D6" s="1">
        <v>4</v>
      </c>
      <c r="E6" s="1">
        <v>5</v>
      </c>
      <c r="F6" s="1">
        <v>6</v>
      </c>
      <c r="G6" s="1">
        <v>7</v>
      </c>
      <c r="H6" s="1">
        <v>8</v>
      </c>
      <c r="I6" s="1">
        <v>9</v>
      </c>
      <c r="J6" s="1">
        <v>10</v>
      </c>
      <c r="K6" s="1">
        <v>11</v>
      </c>
    </row>
    <row r="7" spans="1:11" x14ac:dyDescent="0.2">
      <c r="A7" s="4" t="s">
        <v>133</v>
      </c>
      <c r="B7" s="1">
        <v>100</v>
      </c>
      <c r="C7" s="1" t="s">
        <v>12</v>
      </c>
      <c r="D7" s="1" t="s">
        <v>12</v>
      </c>
      <c r="E7" s="1" t="s">
        <v>12</v>
      </c>
      <c r="F7" s="1" t="s">
        <v>12</v>
      </c>
      <c r="G7" s="1" t="s">
        <v>12</v>
      </c>
      <c r="H7" s="1" t="s">
        <v>12</v>
      </c>
      <c r="I7" s="4"/>
      <c r="J7" s="4"/>
      <c r="K7" s="4"/>
    </row>
    <row r="8" spans="1:11" x14ac:dyDescent="0.2">
      <c r="A8" s="4" t="s">
        <v>134</v>
      </c>
      <c r="B8" s="4"/>
      <c r="C8" s="4"/>
      <c r="D8" s="4"/>
      <c r="E8" s="4"/>
      <c r="F8" s="4"/>
      <c r="G8" s="4"/>
      <c r="H8" s="4"/>
      <c r="I8" s="4"/>
      <c r="J8" s="4"/>
      <c r="K8" s="4"/>
    </row>
    <row r="9" spans="1:11" x14ac:dyDescent="0.2">
      <c r="A9" s="4"/>
      <c r="B9" s="1">
        <v>101</v>
      </c>
      <c r="C9" s="4"/>
      <c r="D9" s="4"/>
      <c r="E9" s="4"/>
      <c r="F9" s="4"/>
      <c r="G9" s="4"/>
      <c r="H9" s="4"/>
      <c r="I9" s="4"/>
      <c r="J9" s="4"/>
      <c r="K9" s="4"/>
    </row>
    <row r="10" spans="1:11" x14ac:dyDescent="0.2">
      <c r="A10" s="4" t="s">
        <v>135</v>
      </c>
      <c r="B10" s="1">
        <v>200</v>
      </c>
      <c r="C10" s="1" t="s">
        <v>12</v>
      </c>
      <c r="D10" s="1" t="s">
        <v>12</v>
      </c>
      <c r="E10" s="1" t="s">
        <v>12</v>
      </c>
      <c r="F10" s="1" t="s">
        <v>12</v>
      </c>
      <c r="G10" s="1" t="s">
        <v>12</v>
      </c>
      <c r="H10" s="1" t="s">
        <v>12</v>
      </c>
      <c r="I10" s="4"/>
      <c r="J10" s="4"/>
      <c r="K10" s="4"/>
    </row>
    <row r="11" spans="1:11" x14ac:dyDescent="0.2">
      <c r="A11" s="4" t="s">
        <v>134</v>
      </c>
      <c r="B11" s="4"/>
      <c r="C11" s="4"/>
      <c r="D11" s="4"/>
      <c r="E11" s="4"/>
      <c r="F11" s="4"/>
      <c r="G11" s="4"/>
      <c r="H11" s="4"/>
      <c r="I11" s="4"/>
      <c r="J11" s="4"/>
      <c r="K11" s="4"/>
    </row>
    <row r="12" spans="1:11" x14ac:dyDescent="0.2">
      <c r="A12" s="4"/>
      <c r="B12" s="1">
        <v>201</v>
      </c>
      <c r="C12" s="4"/>
      <c r="D12" s="4"/>
      <c r="E12" s="4"/>
      <c r="F12" s="4"/>
      <c r="G12" s="4"/>
      <c r="H12" s="4"/>
      <c r="I12" s="4"/>
      <c r="J12" s="4"/>
      <c r="K12" s="4"/>
    </row>
    <row r="13" spans="1:11" x14ac:dyDescent="0.2">
      <c r="A13" s="4" t="s">
        <v>136</v>
      </c>
      <c r="B13" s="1">
        <v>9000</v>
      </c>
      <c r="C13" s="1" t="s">
        <v>12</v>
      </c>
      <c r="D13" s="1" t="s">
        <v>12</v>
      </c>
      <c r="E13" s="1" t="s">
        <v>12</v>
      </c>
      <c r="F13" s="1" t="s">
        <v>12</v>
      </c>
      <c r="G13" s="1" t="s">
        <v>12</v>
      </c>
      <c r="H13" s="1" t="s">
        <v>12</v>
      </c>
      <c r="I13" s="4"/>
      <c r="J13" s="4"/>
      <c r="K13" s="4"/>
    </row>
  </sheetData>
  <mergeCells count="5">
    <mergeCell ref="A3:A5"/>
    <mergeCell ref="B3:B5"/>
    <mergeCell ref="C3:E3"/>
    <mergeCell ref="F3:H3"/>
    <mergeCell ref="I3:K3"/>
  </mergeCells>
  <pageMargins left="0.7" right="0.7" top="0.75" bottom="0.75" header="0.3" footer="0.3"/>
  <pageSetup paperSize="9" scale="8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K10"/>
  <sheetViews>
    <sheetView zoomScaleNormal="100" workbookViewId="0">
      <selection activeCell="H22" sqref="H22"/>
    </sheetView>
  </sheetViews>
  <sheetFormatPr defaultColWidth="9.140625" defaultRowHeight="12.75" x14ac:dyDescent="0.2"/>
  <cols>
    <col min="1" max="1" width="21.140625" style="2" customWidth="1"/>
    <col min="2" max="2" width="9.140625" style="2"/>
    <col min="3" max="11" width="17.140625" style="2" customWidth="1"/>
    <col min="12" max="16384" width="9.140625" style="2"/>
  </cols>
  <sheetData>
    <row r="1" spans="1:11" x14ac:dyDescent="0.2">
      <c r="A1" s="2" t="s">
        <v>144</v>
      </c>
    </row>
    <row r="3" spans="1:11" ht="69" customHeight="1" x14ac:dyDescent="0.2">
      <c r="A3" s="231" t="s">
        <v>0</v>
      </c>
      <c r="B3" s="231" t="s">
        <v>1</v>
      </c>
      <c r="C3" s="231" t="s">
        <v>139</v>
      </c>
      <c r="D3" s="231"/>
      <c r="E3" s="231"/>
      <c r="F3" s="231" t="s">
        <v>140</v>
      </c>
      <c r="G3" s="231"/>
      <c r="H3" s="231"/>
      <c r="I3" s="231" t="s">
        <v>141</v>
      </c>
      <c r="J3" s="231"/>
      <c r="K3" s="231"/>
    </row>
    <row r="4" spans="1:11" x14ac:dyDescent="0.2">
      <c r="A4" s="231"/>
      <c r="B4" s="231"/>
      <c r="C4" s="1" t="s">
        <v>4</v>
      </c>
      <c r="D4" s="4" t="s">
        <v>4</v>
      </c>
      <c r="E4" s="4" t="s">
        <v>4</v>
      </c>
      <c r="F4" s="4" t="s">
        <v>4</v>
      </c>
      <c r="G4" s="4" t="s">
        <v>4</v>
      </c>
      <c r="H4" s="4" t="s">
        <v>4</v>
      </c>
      <c r="I4" s="1" t="s">
        <v>4</v>
      </c>
      <c r="J4" s="1" t="s">
        <v>4</v>
      </c>
      <c r="K4" s="1" t="s">
        <v>4</v>
      </c>
    </row>
    <row r="5" spans="1:11" ht="25.5" x14ac:dyDescent="0.2">
      <c r="A5" s="231"/>
      <c r="B5" s="231"/>
      <c r="C5" s="1" t="s">
        <v>79</v>
      </c>
      <c r="D5" s="1" t="s">
        <v>80</v>
      </c>
      <c r="E5" s="1" t="s">
        <v>81</v>
      </c>
      <c r="F5" s="1" t="s">
        <v>79</v>
      </c>
      <c r="G5" s="1" t="s">
        <v>80</v>
      </c>
      <c r="H5" s="1" t="s">
        <v>81</v>
      </c>
      <c r="I5" s="1" t="s">
        <v>79</v>
      </c>
      <c r="J5" s="1" t="s">
        <v>80</v>
      </c>
      <c r="K5" s="1" t="s">
        <v>81</v>
      </c>
    </row>
    <row r="6" spans="1:11" x14ac:dyDescent="0.2">
      <c r="A6" s="1">
        <v>1</v>
      </c>
      <c r="B6" s="1">
        <v>2</v>
      </c>
      <c r="C6" s="1">
        <v>3</v>
      </c>
      <c r="D6" s="1">
        <v>4</v>
      </c>
      <c r="E6" s="1">
        <v>5</v>
      </c>
      <c r="F6" s="1">
        <v>6</v>
      </c>
      <c r="G6" s="1">
        <v>7</v>
      </c>
      <c r="H6" s="1">
        <v>8</v>
      </c>
      <c r="I6" s="1">
        <v>9</v>
      </c>
      <c r="J6" s="1">
        <v>10</v>
      </c>
      <c r="K6" s="1">
        <v>11</v>
      </c>
    </row>
    <row r="7" spans="1:11" x14ac:dyDescent="0.2">
      <c r="A7" s="4" t="s">
        <v>142</v>
      </c>
      <c r="B7" s="1">
        <v>1</v>
      </c>
      <c r="C7" s="4"/>
      <c r="D7" s="4"/>
      <c r="E7" s="4"/>
      <c r="F7" s="4"/>
      <c r="G7" s="4"/>
      <c r="H7" s="4"/>
      <c r="I7" s="4"/>
      <c r="J7" s="4"/>
      <c r="K7" s="4"/>
    </row>
    <row r="8" spans="1:11" x14ac:dyDescent="0.2">
      <c r="A8" s="4" t="s">
        <v>143</v>
      </c>
      <c r="B8" s="1">
        <v>2</v>
      </c>
      <c r="C8" s="4"/>
      <c r="D8" s="4"/>
      <c r="E8" s="4"/>
      <c r="F8" s="4"/>
      <c r="G8" s="4"/>
      <c r="H8" s="4"/>
      <c r="I8" s="4"/>
      <c r="J8" s="4"/>
      <c r="K8" s="4"/>
    </row>
    <row r="9" spans="1:11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4"/>
    </row>
    <row r="10" spans="1:11" x14ac:dyDescent="0.2">
      <c r="A10" s="4" t="s">
        <v>136</v>
      </c>
      <c r="B10" s="1">
        <v>9000</v>
      </c>
      <c r="C10" s="1" t="s">
        <v>12</v>
      </c>
      <c r="D10" s="1" t="s">
        <v>12</v>
      </c>
      <c r="E10" s="1" t="s">
        <v>12</v>
      </c>
      <c r="F10" s="1" t="s">
        <v>12</v>
      </c>
      <c r="G10" s="1" t="s">
        <v>12</v>
      </c>
      <c r="H10" s="1" t="s">
        <v>12</v>
      </c>
      <c r="I10" s="4"/>
      <c r="J10" s="4"/>
      <c r="K10" s="4"/>
    </row>
  </sheetData>
  <mergeCells count="5">
    <mergeCell ref="A3:A5"/>
    <mergeCell ref="B3:B5"/>
    <mergeCell ref="C3:E3"/>
    <mergeCell ref="F3:H3"/>
    <mergeCell ref="I3:K3"/>
  </mergeCells>
  <pageMargins left="0.7" right="0.7" top="0.75" bottom="0.75" header="0.3" footer="0.3"/>
  <pageSetup paperSize="9" scale="7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view="pageBreakPreview" zoomScaleNormal="100" zoomScaleSheetLayoutView="100" workbookViewId="0">
      <selection activeCell="C5" sqref="C5:E5"/>
    </sheetView>
  </sheetViews>
  <sheetFormatPr defaultColWidth="9.140625" defaultRowHeight="12.75" x14ac:dyDescent="0.2"/>
  <cols>
    <col min="1" max="1" width="48.7109375" style="20" customWidth="1"/>
    <col min="2" max="2" width="9.140625" style="20"/>
    <col min="3" max="6" width="16" style="20" customWidth="1"/>
    <col min="7" max="16384" width="9.140625" style="20"/>
  </cols>
  <sheetData>
    <row r="1" spans="1:5" ht="32.25" customHeight="1" x14ac:dyDescent="0.2">
      <c r="A1" s="235" t="s">
        <v>150</v>
      </c>
      <c r="B1" s="235"/>
      <c r="C1" s="235"/>
      <c r="D1" s="235"/>
      <c r="E1" s="235"/>
    </row>
    <row r="2" spans="1:5" x14ac:dyDescent="0.2">
      <c r="A2" s="21"/>
      <c r="B2" s="21"/>
      <c r="C2" s="21"/>
      <c r="D2" s="21"/>
      <c r="E2" s="21"/>
    </row>
    <row r="3" spans="1:5" ht="31.5" customHeight="1" x14ac:dyDescent="0.2">
      <c r="A3" s="236" t="s">
        <v>149</v>
      </c>
      <c r="B3" s="236"/>
      <c r="C3" s="236"/>
      <c r="D3" s="236"/>
      <c r="E3" s="236"/>
    </row>
    <row r="4" spans="1:5" x14ac:dyDescent="0.2">
      <c r="A4" s="233" t="s">
        <v>0</v>
      </c>
      <c r="B4" s="233" t="s">
        <v>1</v>
      </c>
      <c r="C4" s="233" t="s">
        <v>116</v>
      </c>
      <c r="D4" s="233"/>
      <c r="E4" s="233"/>
    </row>
    <row r="5" spans="1:5" x14ac:dyDescent="0.2">
      <c r="A5" s="233"/>
      <c r="B5" s="233"/>
      <c r="C5" s="104" t="s">
        <v>353</v>
      </c>
      <c r="D5" s="104" t="s">
        <v>455</v>
      </c>
      <c r="E5" s="104" t="s">
        <v>508</v>
      </c>
    </row>
    <row r="6" spans="1:5" ht="38.25" x14ac:dyDescent="0.2">
      <c r="A6" s="233"/>
      <c r="B6" s="233"/>
      <c r="C6" s="13" t="s">
        <v>79</v>
      </c>
      <c r="D6" s="13" t="s">
        <v>80</v>
      </c>
      <c r="E6" s="13" t="s">
        <v>81</v>
      </c>
    </row>
    <row r="7" spans="1:5" x14ac:dyDescent="0.2">
      <c r="A7" s="13">
        <v>1</v>
      </c>
      <c r="B7" s="13">
        <v>2</v>
      </c>
      <c r="C7" s="13">
        <v>3</v>
      </c>
      <c r="D7" s="13">
        <v>4</v>
      </c>
      <c r="E7" s="13">
        <v>5</v>
      </c>
    </row>
    <row r="8" spans="1:5" ht="25.5" x14ac:dyDescent="0.2">
      <c r="A8" s="22" t="s">
        <v>117</v>
      </c>
      <c r="B8" s="13">
        <v>100</v>
      </c>
      <c r="C8" s="23">
        <v>0</v>
      </c>
      <c r="D8" s="42">
        <v>0</v>
      </c>
      <c r="E8" s="42">
        <v>0</v>
      </c>
    </row>
    <row r="9" spans="1:5" ht="38.25" x14ac:dyDescent="0.2">
      <c r="A9" s="22" t="s">
        <v>118</v>
      </c>
      <c r="B9" s="13">
        <v>200</v>
      </c>
      <c r="C9" s="23">
        <v>0</v>
      </c>
      <c r="D9" s="42">
        <v>0</v>
      </c>
      <c r="E9" s="42">
        <v>0</v>
      </c>
    </row>
    <row r="10" spans="1:5" ht="25.5" x14ac:dyDescent="0.2">
      <c r="A10" s="24" t="s">
        <v>147</v>
      </c>
      <c r="B10" s="13">
        <v>300</v>
      </c>
      <c r="C10" s="25">
        <f>C11+C13+C14+C15</f>
        <v>40657072.999999993</v>
      </c>
      <c r="D10" s="25">
        <f>D11+D13+D14+D15</f>
        <v>40657072.999999993</v>
      </c>
      <c r="E10" s="25">
        <f>E11+E13+E14+E15</f>
        <v>40474737.999999993</v>
      </c>
    </row>
    <row r="11" spans="1:5" x14ac:dyDescent="0.2">
      <c r="A11" s="22" t="s">
        <v>15</v>
      </c>
      <c r="B11" s="233">
        <v>310</v>
      </c>
      <c r="C11" s="234">
        <f>'3.2.2'!I12</f>
        <v>35747354.999999993</v>
      </c>
      <c r="D11" s="234">
        <f>'3.2.2'!J12</f>
        <v>35747354.999999993</v>
      </c>
      <c r="E11" s="234">
        <f>'3.2.2'!K12</f>
        <v>35565019.999999993</v>
      </c>
    </row>
    <row r="12" spans="1:5" ht="25.5" x14ac:dyDescent="0.2">
      <c r="A12" s="22" t="s">
        <v>21</v>
      </c>
      <c r="B12" s="233"/>
      <c r="C12" s="234"/>
      <c r="D12" s="234"/>
      <c r="E12" s="234"/>
    </row>
    <row r="13" spans="1:5" ht="38.25" x14ac:dyDescent="0.2">
      <c r="A13" s="22" t="s">
        <v>282</v>
      </c>
      <c r="B13" s="13">
        <v>320</v>
      </c>
      <c r="C13" s="23">
        <f>'3.2.3(р.п)'!I8</f>
        <v>3124968</v>
      </c>
      <c r="D13" s="42">
        <f>'3.2.3(р.п)'!J8</f>
        <v>3124968</v>
      </c>
      <c r="E13" s="42">
        <f>'3.2.3(р.п)'!K8</f>
        <v>3124968</v>
      </c>
    </row>
    <row r="14" spans="1:5" ht="51" x14ac:dyDescent="0.2">
      <c r="A14" s="22" t="s">
        <v>281</v>
      </c>
      <c r="B14" s="13">
        <v>330</v>
      </c>
      <c r="C14" s="23">
        <f>'3.2.4(кр)'!I18</f>
        <v>1784750</v>
      </c>
      <c r="D14" s="42">
        <f>'3.2.4(кр)'!J18</f>
        <v>1784750</v>
      </c>
      <c r="E14" s="42">
        <f>'3.2.4(кр)'!K18</f>
        <v>1784750</v>
      </c>
    </row>
    <row r="15" spans="1:5" ht="38.25" x14ac:dyDescent="0.2">
      <c r="A15" s="22" t="s">
        <v>23</v>
      </c>
      <c r="B15" s="13">
        <v>340</v>
      </c>
      <c r="C15" s="23">
        <f>'3.2.5'!I8</f>
        <v>0</v>
      </c>
      <c r="D15" s="42">
        <f>'3.2.5'!J8</f>
        <v>0</v>
      </c>
      <c r="E15" s="42">
        <f>'3.2.5'!K8</f>
        <v>0</v>
      </c>
    </row>
    <row r="16" spans="1:5" ht="25.5" x14ac:dyDescent="0.2">
      <c r="A16" s="22" t="s">
        <v>126</v>
      </c>
      <c r="B16" s="13">
        <v>400</v>
      </c>
      <c r="C16" s="23"/>
      <c r="D16" s="23"/>
      <c r="E16" s="23"/>
    </row>
    <row r="17" spans="1:5" ht="38.25" x14ac:dyDescent="0.2">
      <c r="A17" s="22" t="s">
        <v>127</v>
      </c>
      <c r="B17" s="13">
        <v>500</v>
      </c>
      <c r="C17" s="23"/>
      <c r="D17" s="23"/>
      <c r="E17" s="23"/>
    </row>
    <row r="18" spans="1:5" ht="38.25" x14ac:dyDescent="0.2">
      <c r="A18" s="22" t="s">
        <v>148</v>
      </c>
      <c r="B18" s="13">
        <v>600</v>
      </c>
      <c r="C18" s="23">
        <f>C8-C9+C10-C16+C17</f>
        <v>40657072.999999993</v>
      </c>
      <c r="D18" s="48">
        <f>D8-D9+D10-D16+D17</f>
        <v>40657072.999999993</v>
      </c>
      <c r="E18" s="48">
        <f>E8-E9+E10-E16+E17</f>
        <v>40474737.999999993</v>
      </c>
    </row>
  </sheetData>
  <mergeCells count="9">
    <mergeCell ref="B11:B12"/>
    <mergeCell ref="C11:C12"/>
    <mergeCell ref="D11:D12"/>
    <mergeCell ref="E11:E12"/>
    <mergeCell ref="A1:E1"/>
    <mergeCell ref="A3:E3"/>
    <mergeCell ref="A4:A6"/>
    <mergeCell ref="B4:B6"/>
    <mergeCell ref="C4:E4"/>
  </mergeCells>
  <pageMargins left="0.7" right="0.7" top="0.75" bottom="0.75" header="0.3" footer="0.3"/>
  <pageSetup paperSize="9" scale="8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3"/>
  <sheetViews>
    <sheetView view="pageBreakPreview" zoomScaleNormal="100" zoomScaleSheetLayoutView="100" workbookViewId="0">
      <selection activeCell="K7" sqref="K7"/>
    </sheetView>
  </sheetViews>
  <sheetFormatPr defaultColWidth="9.140625" defaultRowHeight="12.75" x14ac:dyDescent="0.2"/>
  <cols>
    <col min="1" max="1" width="52.7109375" style="30" customWidth="1"/>
    <col min="2" max="2" width="9.140625" style="30"/>
    <col min="3" max="3" width="13.42578125" style="30" customWidth="1"/>
    <col min="4" max="4" width="12.140625" style="30" customWidth="1"/>
    <col min="5" max="5" width="11.5703125" style="30" customWidth="1"/>
    <col min="6" max="6" width="12.42578125" style="30" customWidth="1"/>
    <col min="7" max="7" width="12.140625" style="30" customWidth="1"/>
    <col min="8" max="8" width="12.42578125" style="30" customWidth="1"/>
    <col min="9" max="10" width="13.85546875" style="30" customWidth="1"/>
    <col min="11" max="11" width="13.5703125" style="30" customWidth="1"/>
    <col min="12" max="16384" width="9.140625" style="30"/>
  </cols>
  <sheetData>
    <row r="1" spans="1:11" x14ac:dyDescent="0.2">
      <c r="A1" s="30" t="s">
        <v>154</v>
      </c>
    </row>
    <row r="2" spans="1:11" ht="49.5" customHeight="1" x14ac:dyDescent="0.2">
      <c r="A2" s="237" t="s">
        <v>0</v>
      </c>
      <c r="B2" s="237" t="s">
        <v>1</v>
      </c>
      <c r="C2" s="237" t="s">
        <v>151</v>
      </c>
      <c r="D2" s="237"/>
      <c r="E2" s="237"/>
      <c r="F2" s="237" t="s">
        <v>152</v>
      </c>
      <c r="G2" s="237"/>
      <c r="H2" s="237"/>
      <c r="I2" s="237" t="s">
        <v>153</v>
      </c>
      <c r="J2" s="237"/>
      <c r="K2" s="237"/>
    </row>
    <row r="3" spans="1:11" x14ac:dyDescent="0.2">
      <c r="A3" s="237"/>
      <c r="B3" s="237"/>
      <c r="C3" s="71" t="s">
        <v>353</v>
      </c>
      <c r="D3" s="71" t="s">
        <v>455</v>
      </c>
      <c r="E3" s="71" t="s">
        <v>508</v>
      </c>
      <c r="F3" s="104" t="s">
        <v>353</v>
      </c>
      <c r="G3" s="104" t="s">
        <v>455</v>
      </c>
      <c r="H3" s="104" t="s">
        <v>508</v>
      </c>
      <c r="I3" s="104" t="s">
        <v>353</v>
      </c>
      <c r="J3" s="104" t="s">
        <v>455</v>
      </c>
      <c r="K3" s="104" t="s">
        <v>508</v>
      </c>
    </row>
    <row r="4" spans="1:11" ht="51.75" customHeight="1" x14ac:dyDescent="0.2">
      <c r="A4" s="237"/>
      <c r="B4" s="237"/>
      <c r="C4" s="71" t="s">
        <v>79</v>
      </c>
      <c r="D4" s="71" t="s">
        <v>80</v>
      </c>
      <c r="E4" s="71" t="s">
        <v>81</v>
      </c>
      <c r="F4" s="71" t="s">
        <v>79</v>
      </c>
      <c r="G4" s="71" t="s">
        <v>80</v>
      </c>
      <c r="H4" s="71" t="s">
        <v>81</v>
      </c>
      <c r="I4" s="71" t="s">
        <v>79</v>
      </c>
      <c r="J4" s="71" t="s">
        <v>80</v>
      </c>
      <c r="K4" s="71" t="s">
        <v>81</v>
      </c>
    </row>
    <row r="5" spans="1:11" x14ac:dyDescent="0.2">
      <c r="A5" s="71">
        <v>1</v>
      </c>
      <c r="B5" s="71">
        <v>2</v>
      </c>
      <c r="C5" s="71">
        <v>3</v>
      </c>
      <c r="D5" s="71">
        <v>4</v>
      </c>
      <c r="E5" s="71">
        <v>5</v>
      </c>
      <c r="F5" s="71">
        <v>6</v>
      </c>
      <c r="G5" s="71">
        <v>7</v>
      </c>
      <c r="H5" s="71">
        <v>8</v>
      </c>
      <c r="I5" s="71">
        <v>9</v>
      </c>
      <c r="J5" s="71">
        <v>10</v>
      </c>
      <c r="K5" s="71">
        <v>11</v>
      </c>
    </row>
    <row r="6" spans="1:11" ht="25.5" x14ac:dyDescent="0.2">
      <c r="A6" s="31" t="s">
        <v>413</v>
      </c>
      <c r="B6" s="71"/>
      <c r="C6" s="40">
        <v>106136.14</v>
      </c>
      <c r="D6" s="40">
        <v>106136.14</v>
      </c>
      <c r="E6" s="40">
        <v>106136.14</v>
      </c>
      <c r="F6" s="71">
        <v>187</v>
      </c>
      <c r="G6" s="71">
        <v>270</v>
      </c>
      <c r="H6" s="71">
        <v>270</v>
      </c>
      <c r="I6" s="35">
        <v>25726454.989999998</v>
      </c>
      <c r="J6" s="35">
        <v>23125946.920000002</v>
      </c>
      <c r="K6" s="35">
        <v>22943611.920000002</v>
      </c>
    </row>
    <row r="7" spans="1:11" ht="31.5" customHeight="1" x14ac:dyDescent="0.2">
      <c r="A7" s="31" t="s">
        <v>428</v>
      </c>
      <c r="B7" s="71"/>
      <c r="C7" s="41">
        <v>365694.22</v>
      </c>
      <c r="D7" s="41">
        <v>365694.22</v>
      </c>
      <c r="E7" s="41">
        <v>365694.22</v>
      </c>
      <c r="F7" s="71">
        <v>20</v>
      </c>
      <c r="G7" s="71">
        <v>24</v>
      </c>
      <c r="H7" s="71">
        <v>24</v>
      </c>
      <c r="I7" s="35">
        <f t="shared" ref="I7:K11" si="0">C7*F7</f>
        <v>7313884.3999999994</v>
      </c>
      <c r="J7" s="35">
        <f>D7*G7</f>
        <v>8776661.2799999993</v>
      </c>
      <c r="K7" s="35">
        <f t="shared" si="0"/>
        <v>8776661.2799999993</v>
      </c>
    </row>
    <row r="8" spans="1:11" x14ac:dyDescent="0.2">
      <c r="A8" s="31" t="s">
        <v>414</v>
      </c>
      <c r="B8" s="71"/>
      <c r="C8" s="41">
        <v>13077.37</v>
      </c>
      <c r="D8" s="41">
        <v>13077.37</v>
      </c>
      <c r="E8" s="41">
        <v>13077.37</v>
      </c>
      <c r="F8" s="71">
        <v>189</v>
      </c>
      <c r="G8" s="71">
        <v>265</v>
      </c>
      <c r="H8" s="71">
        <v>265</v>
      </c>
      <c r="I8" s="35">
        <f t="shared" si="0"/>
        <v>2471622.9300000002</v>
      </c>
      <c r="J8" s="35">
        <f t="shared" si="0"/>
        <v>3465503.0500000003</v>
      </c>
      <c r="K8" s="35">
        <f t="shared" si="0"/>
        <v>3465503.0500000003</v>
      </c>
    </row>
    <row r="9" spans="1:11" x14ac:dyDescent="0.2">
      <c r="A9" s="31" t="s">
        <v>415</v>
      </c>
      <c r="B9" s="71"/>
      <c r="C9" s="41">
        <v>13077.37</v>
      </c>
      <c r="D9" s="41">
        <v>13077.37</v>
      </c>
      <c r="E9" s="41">
        <v>13077.37</v>
      </c>
      <c r="F9" s="71">
        <v>12</v>
      </c>
      <c r="G9" s="71">
        <v>23</v>
      </c>
      <c r="H9" s="71">
        <v>23</v>
      </c>
      <c r="I9" s="35">
        <f t="shared" si="0"/>
        <v>156928.44</v>
      </c>
      <c r="J9" s="35">
        <f t="shared" si="0"/>
        <v>300779.51</v>
      </c>
      <c r="K9" s="35">
        <f t="shared" si="0"/>
        <v>300779.51</v>
      </c>
    </row>
    <row r="10" spans="1:11" ht="25.5" x14ac:dyDescent="0.2">
      <c r="A10" s="31" t="s">
        <v>416</v>
      </c>
      <c r="B10" s="71"/>
      <c r="C10" s="41">
        <v>13077.37</v>
      </c>
      <c r="D10" s="41">
        <v>13077.37</v>
      </c>
      <c r="E10" s="41">
        <v>13077.37</v>
      </c>
      <c r="F10" s="71">
        <v>4</v>
      </c>
      <c r="G10" s="71">
        <v>4</v>
      </c>
      <c r="H10" s="71">
        <v>4</v>
      </c>
      <c r="I10" s="35">
        <f t="shared" si="0"/>
        <v>52309.48</v>
      </c>
      <c r="J10" s="35">
        <f t="shared" si="0"/>
        <v>52309.48</v>
      </c>
      <c r="K10" s="35">
        <f t="shared" si="0"/>
        <v>52309.48</v>
      </c>
    </row>
    <row r="11" spans="1:11" x14ac:dyDescent="0.2">
      <c r="A11" s="31" t="s">
        <v>417</v>
      </c>
      <c r="B11" s="71"/>
      <c r="C11" s="41">
        <v>13077.38</v>
      </c>
      <c r="D11" s="41">
        <v>13077.38</v>
      </c>
      <c r="E11" s="41">
        <v>13077.38</v>
      </c>
      <c r="F11" s="71">
        <v>2</v>
      </c>
      <c r="G11" s="71">
        <v>2</v>
      </c>
      <c r="H11" s="71">
        <v>2</v>
      </c>
      <c r="I11" s="35">
        <f t="shared" si="0"/>
        <v>26154.76</v>
      </c>
      <c r="J11" s="35">
        <f t="shared" si="0"/>
        <v>26154.76</v>
      </c>
      <c r="K11" s="35">
        <f t="shared" si="0"/>
        <v>26154.76</v>
      </c>
    </row>
    <row r="12" spans="1:11" x14ac:dyDescent="0.2">
      <c r="A12" s="31" t="s">
        <v>136</v>
      </c>
      <c r="B12" s="71">
        <v>9000</v>
      </c>
      <c r="C12" s="71" t="s">
        <v>12</v>
      </c>
      <c r="D12" s="71" t="s">
        <v>12</v>
      </c>
      <c r="E12" s="71" t="s">
        <v>12</v>
      </c>
      <c r="F12" s="71" t="s">
        <v>12</v>
      </c>
      <c r="G12" s="71" t="s">
        <v>12</v>
      </c>
      <c r="H12" s="71" t="s">
        <v>12</v>
      </c>
      <c r="I12" s="34">
        <f>SUM(I6:I11)</f>
        <v>35747354.999999993</v>
      </c>
      <c r="J12" s="34">
        <f>SUM(J6:J11)</f>
        <v>35747354.999999993</v>
      </c>
      <c r="K12" s="34">
        <f>SUM(K6:K11)</f>
        <v>35565019.999999993</v>
      </c>
    </row>
    <row r="13" spans="1:11" x14ac:dyDescent="0.2">
      <c r="J13" s="49"/>
    </row>
  </sheetData>
  <mergeCells count="5">
    <mergeCell ref="A2:A4"/>
    <mergeCell ref="B2:B4"/>
    <mergeCell ref="C2:E2"/>
    <mergeCell ref="F2:H2"/>
    <mergeCell ref="I2:K2"/>
  </mergeCells>
  <pageMargins left="0.70866141732283472" right="0.70866141732283472" top="0.74803149606299213" bottom="0.74803149606299213" header="0.31496062992125984" footer="0.31496062992125984"/>
  <pageSetup paperSize="9" scale="73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view="pageBreakPreview" zoomScaleNormal="100" zoomScaleSheetLayoutView="100" workbookViewId="0">
      <selection activeCell="C4" sqref="C4:E4"/>
    </sheetView>
  </sheetViews>
  <sheetFormatPr defaultColWidth="9.140625" defaultRowHeight="12.75" x14ac:dyDescent="0.2"/>
  <cols>
    <col min="1" max="1" width="33.28515625" style="30" customWidth="1"/>
    <col min="2" max="2" width="9.140625" style="30"/>
    <col min="3" max="8" width="13.28515625" style="30" customWidth="1"/>
    <col min="9" max="9" width="14.42578125" style="30" customWidth="1"/>
    <col min="10" max="10" width="14.28515625" style="30" customWidth="1"/>
    <col min="11" max="11" width="14.140625" style="30" customWidth="1"/>
    <col min="12" max="16384" width="9.140625" style="30"/>
  </cols>
  <sheetData>
    <row r="1" spans="1:11" x14ac:dyDescent="0.2">
      <c r="A1" s="30" t="s">
        <v>155</v>
      </c>
    </row>
    <row r="3" spans="1:11" ht="49.5" customHeight="1" x14ac:dyDescent="0.2">
      <c r="A3" s="237" t="s">
        <v>0</v>
      </c>
      <c r="B3" s="237" t="s">
        <v>1</v>
      </c>
      <c r="C3" s="237" t="s">
        <v>151</v>
      </c>
      <c r="D3" s="237"/>
      <c r="E3" s="237"/>
      <c r="F3" s="237" t="s">
        <v>152</v>
      </c>
      <c r="G3" s="237"/>
      <c r="H3" s="237"/>
      <c r="I3" s="237" t="s">
        <v>153</v>
      </c>
      <c r="J3" s="237"/>
      <c r="K3" s="237"/>
    </row>
    <row r="4" spans="1:11" x14ac:dyDescent="0.2">
      <c r="A4" s="237"/>
      <c r="B4" s="237"/>
      <c r="C4" s="71" t="s">
        <v>353</v>
      </c>
      <c r="D4" s="71" t="s">
        <v>455</v>
      </c>
      <c r="E4" s="71" t="s">
        <v>508</v>
      </c>
      <c r="F4" s="104" t="s">
        <v>353</v>
      </c>
      <c r="G4" s="104" t="s">
        <v>455</v>
      </c>
      <c r="H4" s="104" t="s">
        <v>508</v>
      </c>
      <c r="I4" s="104" t="s">
        <v>353</v>
      </c>
      <c r="J4" s="104" t="s">
        <v>455</v>
      </c>
      <c r="K4" s="104" t="s">
        <v>508</v>
      </c>
    </row>
    <row r="5" spans="1:11" ht="38.25" x14ac:dyDescent="0.2">
      <c r="A5" s="237"/>
      <c r="B5" s="237"/>
      <c r="C5" s="71" t="s">
        <v>79</v>
      </c>
      <c r="D5" s="71" t="s">
        <v>80</v>
      </c>
      <c r="E5" s="71" t="s">
        <v>81</v>
      </c>
      <c r="F5" s="71" t="s">
        <v>79</v>
      </c>
      <c r="G5" s="71" t="s">
        <v>80</v>
      </c>
      <c r="H5" s="71" t="s">
        <v>81</v>
      </c>
      <c r="I5" s="71" t="s">
        <v>79</v>
      </c>
      <c r="J5" s="71" t="s">
        <v>80</v>
      </c>
      <c r="K5" s="71" t="s">
        <v>81</v>
      </c>
    </row>
    <row r="6" spans="1:11" x14ac:dyDescent="0.2">
      <c r="A6" s="71">
        <v>1</v>
      </c>
      <c r="B6" s="71">
        <v>2</v>
      </c>
      <c r="C6" s="71">
        <v>3</v>
      </c>
      <c r="D6" s="71">
        <v>4</v>
      </c>
      <c r="E6" s="71">
        <v>5</v>
      </c>
      <c r="F6" s="71">
        <v>6</v>
      </c>
      <c r="G6" s="71">
        <v>7</v>
      </c>
      <c r="H6" s="71">
        <v>8</v>
      </c>
      <c r="I6" s="71">
        <v>9</v>
      </c>
      <c r="J6" s="71">
        <v>10</v>
      </c>
      <c r="K6" s="71">
        <v>11</v>
      </c>
    </row>
    <row r="7" spans="1:11" x14ac:dyDescent="0.2">
      <c r="A7" s="31" t="s">
        <v>283</v>
      </c>
      <c r="B7" s="71">
        <v>1</v>
      </c>
      <c r="C7" s="31">
        <v>1400</v>
      </c>
      <c r="D7" s="31">
        <v>1400</v>
      </c>
      <c r="E7" s="31">
        <v>1400</v>
      </c>
      <c r="F7" s="72">
        <f>I7/C7</f>
        <v>2232.12</v>
      </c>
      <c r="G7" s="72">
        <f>J7/D7</f>
        <v>2232.12</v>
      </c>
      <c r="H7" s="72">
        <f>K7/E7</f>
        <v>2232.12</v>
      </c>
      <c r="I7" s="70">
        <v>3124968</v>
      </c>
      <c r="J7" s="103">
        <v>3124968</v>
      </c>
      <c r="K7" s="103">
        <v>3124968</v>
      </c>
    </row>
    <row r="8" spans="1:11" x14ac:dyDescent="0.2">
      <c r="A8" s="31" t="s">
        <v>136</v>
      </c>
      <c r="B8" s="71">
        <v>9000</v>
      </c>
      <c r="C8" s="71" t="s">
        <v>12</v>
      </c>
      <c r="D8" s="71" t="s">
        <v>12</v>
      </c>
      <c r="E8" s="71" t="s">
        <v>12</v>
      </c>
      <c r="F8" s="71" t="s">
        <v>12</v>
      </c>
      <c r="G8" s="71" t="s">
        <v>12</v>
      </c>
      <c r="H8" s="71" t="s">
        <v>12</v>
      </c>
      <c r="I8" s="32">
        <f>I7</f>
        <v>3124968</v>
      </c>
      <c r="J8" s="32">
        <f t="shared" ref="J8:K8" si="0">J7</f>
        <v>3124968</v>
      </c>
      <c r="K8" s="32">
        <f t="shared" si="0"/>
        <v>3124968</v>
      </c>
    </row>
  </sheetData>
  <mergeCells count="5">
    <mergeCell ref="A3:A5"/>
    <mergeCell ref="B3:B5"/>
    <mergeCell ref="C3:E3"/>
    <mergeCell ref="F3:H3"/>
    <mergeCell ref="I3:K3"/>
  </mergeCells>
  <pageMargins left="0.7" right="0.7" top="0.75" bottom="0.75" header="0.3" footer="0.3"/>
  <pageSetup paperSize="9" scale="7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view="pageBreakPreview" zoomScaleNormal="100" zoomScaleSheetLayoutView="100" workbookViewId="0">
      <selection sqref="A1:XFD1048576"/>
    </sheetView>
  </sheetViews>
  <sheetFormatPr defaultColWidth="9.140625" defaultRowHeight="12.75" x14ac:dyDescent="0.2"/>
  <cols>
    <col min="1" max="1" width="29.7109375" style="30" customWidth="1"/>
    <col min="2" max="2" width="9.140625" style="30" customWidth="1"/>
    <col min="3" max="11" width="16" style="30" customWidth="1"/>
    <col min="12" max="16384" width="9.140625" style="30"/>
  </cols>
  <sheetData>
    <row r="1" spans="1:11" x14ac:dyDescent="0.2">
      <c r="A1" s="30" t="s">
        <v>156</v>
      </c>
    </row>
    <row r="2" spans="1:11" ht="22.5" customHeight="1" x14ac:dyDescent="0.2">
      <c r="A2" s="95" t="str">
        <f>'3.13.1'!M9</f>
        <v>0701 4200099000 853</v>
      </c>
      <c r="B2" s="30" t="s">
        <v>476</v>
      </c>
    </row>
    <row r="3" spans="1:11" ht="49.5" customHeight="1" x14ac:dyDescent="0.2">
      <c r="A3" s="237" t="s">
        <v>0</v>
      </c>
      <c r="B3" s="237" t="s">
        <v>1</v>
      </c>
      <c r="C3" s="237" t="s">
        <v>151</v>
      </c>
      <c r="D3" s="237"/>
      <c r="E3" s="237"/>
      <c r="F3" s="237" t="s">
        <v>152</v>
      </c>
      <c r="G3" s="237"/>
      <c r="H3" s="237"/>
      <c r="I3" s="237" t="s">
        <v>153</v>
      </c>
      <c r="J3" s="237"/>
      <c r="K3" s="237"/>
    </row>
    <row r="4" spans="1:11" x14ac:dyDescent="0.2">
      <c r="A4" s="237"/>
      <c r="B4" s="237"/>
      <c r="C4" s="104" t="s">
        <v>410</v>
      </c>
      <c r="D4" s="104" t="s">
        <v>455</v>
      </c>
      <c r="E4" s="104" t="s">
        <v>508</v>
      </c>
      <c r="F4" s="104" t="s">
        <v>410</v>
      </c>
      <c r="G4" s="104" t="s">
        <v>455</v>
      </c>
      <c r="H4" s="104" t="s">
        <v>508</v>
      </c>
      <c r="I4" s="104" t="s">
        <v>410</v>
      </c>
      <c r="J4" s="104" t="s">
        <v>455</v>
      </c>
      <c r="K4" s="104" t="s">
        <v>508</v>
      </c>
    </row>
    <row r="5" spans="1:11" ht="38.25" x14ac:dyDescent="0.2">
      <c r="A5" s="237"/>
      <c r="B5" s="237"/>
      <c r="C5" s="104" t="s">
        <v>79</v>
      </c>
      <c r="D5" s="104" t="s">
        <v>80</v>
      </c>
      <c r="E5" s="104" t="s">
        <v>81</v>
      </c>
      <c r="F5" s="104" t="s">
        <v>79</v>
      </c>
      <c r="G5" s="104" t="s">
        <v>80</v>
      </c>
      <c r="H5" s="104" t="s">
        <v>81</v>
      </c>
      <c r="I5" s="104" t="s">
        <v>79</v>
      </c>
      <c r="J5" s="104" t="s">
        <v>80</v>
      </c>
      <c r="K5" s="104" t="s">
        <v>81</v>
      </c>
    </row>
    <row r="6" spans="1:11" x14ac:dyDescent="0.2">
      <c r="A6" s="104">
        <v>1</v>
      </c>
      <c r="B6" s="104">
        <v>2</v>
      </c>
      <c r="C6" s="104">
        <v>3</v>
      </c>
      <c r="D6" s="104">
        <v>4</v>
      </c>
      <c r="E6" s="104">
        <v>5</v>
      </c>
      <c r="F6" s="104">
        <v>6</v>
      </c>
      <c r="G6" s="104">
        <v>7</v>
      </c>
      <c r="H6" s="104">
        <v>8</v>
      </c>
      <c r="I6" s="104">
        <v>9</v>
      </c>
      <c r="J6" s="104">
        <v>10</v>
      </c>
      <c r="K6" s="104">
        <v>11</v>
      </c>
    </row>
    <row r="7" spans="1:11" x14ac:dyDescent="0.2">
      <c r="A7" s="182" t="s">
        <v>492</v>
      </c>
      <c r="B7" s="104">
        <v>1</v>
      </c>
      <c r="C7" s="31">
        <v>600</v>
      </c>
      <c r="D7" s="31">
        <f>C7</f>
        <v>600</v>
      </c>
      <c r="E7" s="31">
        <f>C7</f>
        <v>600</v>
      </c>
      <c r="F7" s="72">
        <f>I7/C7</f>
        <v>160</v>
      </c>
      <c r="G7" s="72">
        <f>J7/D7</f>
        <v>160</v>
      </c>
      <c r="H7" s="72">
        <f>K7/E7</f>
        <v>160</v>
      </c>
      <c r="I7" s="191">
        <v>96000</v>
      </c>
      <c r="J7" s="191">
        <f>I7</f>
        <v>96000</v>
      </c>
      <c r="K7" s="191">
        <f>I7</f>
        <v>96000</v>
      </c>
    </row>
    <row r="8" spans="1:11" x14ac:dyDescent="0.2">
      <c r="A8" s="182" t="s">
        <v>483</v>
      </c>
      <c r="B8" s="104">
        <f>B7+1</f>
        <v>2</v>
      </c>
      <c r="C8" s="31">
        <v>700</v>
      </c>
      <c r="D8" s="31">
        <f t="shared" ref="D8:D17" si="0">C8</f>
        <v>700</v>
      </c>
      <c r="E8" s="31">
        <f t="shared" ref="E8:E17" si="1">C8</f>
        <v>700</v>
      </c>
      <c r="F8" s="72">
        <f t="shared" ref="F8:F17" si="2">I8/C8</f>
        <v>150</v>
      </c>
      <c r="G8" s="72">
        <f t="shared" ref="G8:G17" si="3">J8/D8</f>
        <v>150</v>
      </c>
      <c r="H8" s="72">
        <f t="shared" ref="H8:H17" si="4">K8/E8</f>
        <v>150</v>
      </c>
      <c r="I8" s="191">
        <v>105000</v>
      </c>
      <c r="J8" s="191">
        <f t="shared" ref="J8:J17" si="5">I8</f>
        <v>105000</v>
      </c>
      <c r="K8" s="191">
        <f t="shared" ref="K8:K17" si="6">I8</f>
        <v>105000</v>
      </c>
    </row>
    <row r="9" spans="1:11" x14ac:dyDescent="0.2">
      <c r="A9" s="182" t="s">
        <v>484</v>
      </c>
      <c r="B9" s="104">
        <f t="shared" ref="B9:B17" si="7">B8+1</f>
        <v>3</v>
      </c>
      <c r="C9" s="31">
        <f>(700+350)/2</f>
        <v>525</v>
      </c>
      <c r="D9" s="31">
        <f t="shared" si="0"/>
        <v>525</v>
      </c>
      <c r="E9" s="31">
        <f t="shared" si="1"/>
        <v>525</v>
      </c>
      <c r="F9" s="72">
        <f t="shared" si="2"/>
        <v>483.33333333333331</v>
      </c>
      <c r="G9" s="72">
        <f t="shared" si="3"/>
        <v>483.33333333333331</v>
      </c>
      <c r="H9" s="72">
        <f t="shared" si="4"/>
        <v>483.33333333333331</v>
      </c>
      <c r="I9" s="191">
        <f>122500+87500+43750</f>
        <v>253750</v>
      </c>
      <c r="J9" s="191">
        <f t="shared" si="5"/>
        <v>253750</v>
      </c>
      <c r="K9" s="191">
        <f t="shared" si="6"/>
        <v>253750</v>
      </c>
    </row>
    <row r="10" spans="1:11" x14ac:dyDescent="0.2">
      <c r="A10" s="182" t="s">
        <v>485</v>
      </c>
      <c r="B10" s="104">
        <f t="shared" si="7"/>
        <v>4</v>
      </c>
      <c r="C10" s="31">
        <v>700</v>
      </c>
      <c r="D10" s="31">
        <f t="shared" si="0"/>
        <v>700</v>
      </c>
      <c r="E10" s="31">
        <f t="shared" si="1"/>
        <v>700</v>
      </c>
      <c r="F10" s="72">
        <f t="shared" si="2"/>
        <v>300</v>
      </c>
      <c r="G10" s="72">
        <f t="shared" si="3"/>
        <v>300</v>
      </c>
      <c r="H10" s="72">
        <f t="shared" si="4"/>
        <v>300</v>
      </c>
      <c r="I10" s="191">
        <v>210000</v>
      </c>
      <c r="J10" s="191">
        <f t="shared" si="5"/>
        <v>210000</v>
      </c>
      <c r="K10" s="191">
        <f t="shared" si="6"/>
        <v>210000</v>
      </c>
    </row>
    <row r="11" spans="1:11" x14ac:dyDescent="0.2">
      <c r="A11" s="182" t="s">
        <v>486</v>
      </c>
      <c r="B11" s="104">
        <f t="shared" si="7"/>
        <v>5</v>
      </c>
      <c r="C11" s="31">
        <v>700</v>
      </c>
      <c r="D11" s="31">
        <f t="shared" si="0"/>
        <v>700</v>
      </c>
      <c r="E11" s="31">
        <f t="shared" si="1"/>
        <v>700</v>
      </c>
      <c r="F11" s="72">
        <f t="shared" si="2"/>
        <v>500</v>
      </c>
      <c r="G11" s="72">
        <f t="shared" si="3"/>
        <v>500</v>
      </c>
      <c r="H11" s="72">
        <f t="shared" si="4"/>
        <v>500</v>
      </c>
      <c r="I11" s="191">
        <v>350000</v>
      </c>
      <c r="J11" s="191">
        <f t="shared" si="5"/>
        <v>350000</v>
      </c>
      <c r="K11" s="191">
        <f t="shared" si="6"/>
        <v>350000</v>
      </c>
    </row>
    <row r="12" spans="1:11" x14ac:dyDescent="0.2">
      <c r="A12" s="184" t="s">
        <v>487</v>
      </c>
      <c r="B12" s="104">
        <f t="shared" si="7"/>
        <v>6</v>
      </c>
      <c r="C12" s="31">
        <v>900</v>
      </c>
      <c r="D12" s="31">
        <f t="shared" si="0"/>
        <v>900</v>
      </c>
      <c r="E12" s="31">
        <f t="shared" si="1"/>
        <v>900</v>
      </c>
      <c r="F12" s="72">
        <f t="shared" si="2"/>
        <v>100</v>
      </c>
      <c r="G12" s="72">
        <f t="shared" si="3"/>
        <v>100</v>
      </c>
      <c r="H12" s="72">
        <f t="shared" si="4"/>
        <v>100</v>
      </c>
      <c r="I12" s="191">
        <v>90000</v>
      </c>
      <c r="J12" s="191">
        <f t="shared" si="5"/>
        <v>90000</v>
      </c>
      <c r="K12" s="191">
        <f t="shared" si="6"/>
        <v>90000</v>
      </c>
    </row>
    <row r="13" spans="1:11" x14ac:dyDescent="0.2">
      <c r="A13" s="184" t="s">
        <v>488</v>
      </c>
      <c r="B13" s="104">
        <f t="shared" si="7"/>
        <v>7</v>
      </c>
      <c r="C13" s="31">
        <v>700</v>
      </c>
      <c r="D13" s="31">
        <f t="shared" si="0"/>
        <v>700</v>
      </c>
      <c r="E13" s="31">
        <f t="shared" si="1"/>
        <v>700</v>
      </c>
      <c r="F13" s="72">
        <f t="shared" si="2"/>
        <v>150</v>
      </c>
      <c r="G13" s="72">
        <f t="shared" si="3"/>
        <v>150</v>
      </c>
      <c r="H13" s="72">
        <f t="shared" si="4"/>
        <v>150</v>
      </c>
      <c r="I13" s="191">
        <v>105000</v>
      </c>
      <c r="J13" s="191">
        <f t="shared" si="5"/>
        <v>105000</v>
      </c>
      <c r="K13" s="191">
        <f t="shared" si="6"/>
        <v>105000</v>
      </c>
    </row>
    <row r="14" spans="1:11" x14ac:dyDescent="0.2">
      <c r="A14" s="184" t="s">
        <v>489</v>
      </c>
      <c r="B14" s="104">
        <f t="shared" si="7"/>
        <v>8</v>
      </c>
      <c r="C14" s="31">
        <v>700</v>
      </c>
      <c r="D14" s="31">
        <f t="shared" si="0"/>
        <v>700</v>
      </c>
      <c r="E14" s="31">
        <f t="shared" si="1"/>
        <v>700</v>
      </c>
      <c r="F14" s="72">
        <f t="shared" si="2"/>
        <v>125</v>
      </c>
      <c r="G14" s="72">
        <f t="shared" si="3"/>
        <v>125</v>
      </c>
      <c r="H14" s="72">
        <f t="shared" si="4"/>
        <v>125</v>
      </c>
      <c r="I14" s="191">
        <v>87500</v>
      </c>
      <c r="J14" s="191">
        <f t="shared" si="5"/>
        <v>87500</v>
      </c>
      <c r="K14" s="191">
        <f t="shared" si="6"/>
        <v>87500</v>
      </c>
    </row>
    <row r="15" spans="1:11" ht="25.5" x14ac:dyDescent="0.2">
      <c r="A15" s="184" t="s">
        <v>490</v>
      </c>
      <c r="B15" s="104">
        <f t="shared" si="7"/>
        <v>9</v>
      </c>
      <c r="C15" s="31">
        <v>900</v>
      </c>
      <c r="D15" s="31">
        <f t="shared" si="0"/>
        <v>900</v>
      </c>
      <c r="E15" s="31">
        <f t="shared" si="1"/>
        <v>900</v>
      </c>
      <c r="F15" s="72">
        <f t="shared" si="2"/>
        <v>75</v>
      </c>
      <c r="G15" s="72">
        <f t="shared" si="3"/>
        <v>75</v>
      </c>
      <c r="H15" s="72">
        <f t="shared" si="4"/>
        <v>75</v>
      </c>
      <c r="I15" s="191">
        <v>67500</v>
      </c>
      <c r="J15" s="191">
        <f t="shared" si="5"/>
        <v>67500</v>
      </c>
      <c r="K15" s="191">
        <f t="shared" si="6"/>
        <v>67500</v>
      </c>
    </row>
    <row r="16" spans="1:11" x14ac:dyDescent="0.2">
      <c r="A16" s="184" t="s">
        <v>499</v>
      </c>
      <c r="B16" s="104">
        <f t="shared" si="7"/>
        <v>10</v>
      </c>
      <c r="C16" s="31">
        <v>300</v>
      </c>
      <c r="D16" s="31">
        <f t="shared" si="0"/>
        <v>300</v>
      </c>
      <c r="E16" s="31">
        <f t="shared" si="1"/>
        <v>300</v>
      </c>
      <c r="F16" s="72">
        <f t="shared" si="2"/>
        <v>600</v>
      </c>
      <c r="G16" s="72">
        <f t="shared" si="3"/>
        <v>600</v>
      </c>
      <c r="H16" s="72">
        <f t="shared" si="4"/>
        <v>600</v>
      </c>
      <c r="I16" s="191">
        <v>180000</v>
      </c>
      <c r="J16" s="191">
        <f t="shared" si="5"/>
        <v>180000</v>
      </c>
      <c r="K16" s="191">
        <f t="shared" si="6"/>
        <v>180000</v>
      </c>
    </row>
    <row r="17" spans="1:11" ht="25.5" x14ac:dyDescent="0.2">
      <c r="A17" s="184" t="s">
        <v>491</v>
      </c>
      <c r="B17" s="104">
        <f t="shared" si="7"/>
        <v>11</v>
      </c>
      <c r="C17" s="31">
        <v>600</v>
      </c>
      <c r="D17" s="31">
        <f t="shared" si="0"/>
        <v>600</v>
      </c>
      <c r="E17" s="31">
        <f t="shared" si="1"/>
        <v>600</v>
      </c>
      <c r="F17" s="72">
        <f t="shared" si="2"/>
        <v>400</v>
      </c>
      <c r="G17" s="72">
        <f t="shared" si="3"/>
        <v>400</v>
      </c>
      <c r="H17" s="72">
        <f t="shared" si="4"/>
        <v>400</v>
      </c>
      <c r="I17" s="191">
        <v>240000</v>
      </c>
      <c r="J17" s="191">
        <f t="shared" si="5"/>
        <v>240000</v>
      </c>
      <c r="K17" s="191">
        <f t="shared" si="6"/>
        <v>240000</v>
      </c>
    </row>
    <row r="18" spans="1:11" x14ac:dyDescent="0.2">
      <c r="A18" s="31" t="s">
        <v>136</v>
      </c>
      <c r="B18" s="104">
        <v>9000</v>
      </c>
      <c r="C18" s="104" t="s">
        <v>12</v>
      </c>
      <c r="D18" s="104" t="s">
        <v>12</v>
      </c>
      <c r="E18" s="104" t="s">
        <v>12</v>
      </c>
      <c r="F18" s="104" t="s">
        <v>12</v>
      </c>
      <c r="G18" s="104" t="s">
        <v>12</v>
      </c>
      <c r="H18" s="104" t="s">
        <v>12</v>
      </c>
      <c r="I18" s="32">
        <f>SUM(I7:I17)</f>
        <v>1784750</v>
      </c>
      <c r="J18" s="32">
        <f>SUM(J7:J17)</f>
        <v>1784750</v>
      </c>
      <c r="K18" s="32">
        <f>SUM(K7:K17)</f>
        <v>1784750</v>
      </c>
    </row>
    <row r="21" spans="1:11" x14ac:dyDescent="0.2">
      <c r="I21" s="139"/>
    </row>
  </sheetData>
  <mergeCells count="5">
    <mergeCell ref="A3:A5"/>
    <mergeCell ref="B3:B5"/>
    <mergeCell ref="C3:E3"/>
    <mergeCell ref="F3:H3"/>
    <mergeCell ref="I3:K3"/>
  </mergeCells>
  <pageMargins left="0.7" right="0.7" top="0.75" bottom="0.75" header="0.3" footer="0.3"/>
  <pageSetup paperSize="9" scale="7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37</vt:i4>
      </vt:variant>
      <vt:variant>
        <vt:lpstr>Именованные диапазоны</vt:lpstr>
      </vt:variant>
      <vt:variant>
        <vt:i4>21</vt:i4>
      </vt:variant>
    </vt:vector>
  </HeadingPairs>
  <TitlesOfParts>
    <vt:vector size="58" baseType="lpstr">
      <vt:lpstr>Р.1</vt:lpstr>
      <vt:lpstr>Р.2</vt:lpstr>
      <vt:lpstr>3.1.1.</vt:lpstr>
      <vt:lpstr>3.1.2</vt:lpstr>
      <vt:lpstr>3.1.3</vt:lpstr>
      <vt:lpstr>3.2.1(доходы)</vt:lpstr>
      <vt:lpstr>3.2.2</vt:lpstr>
      <vt:lpstr>3.2.3(р.п)</vt:lpstr>
      <vt:lpstr>3.2.4(кр)</vt:lpstr>
      <vt:lpstr>3.2.5</vt:lpstr>
      <vt:lpstr>3.3.1</vt:lpstr>
      <vt:lpstr>3.4.1</vt:lpstr>
      <vt:lpstr>3.5.1</vt:lpstr>
      <vt:lpstr>3.6.1(211общ)</vt:lpstr>
      <vt:lpstr>3.6.3(211)</vt:lpstr>
      <vt:lpstr>3.6.4</vt:lpstr>
      <vt:lpstr>3.6.5</vt:lpstr>
      <vt:lpstr>3.7.1</vt:lpstr>
      <vt:lpstr>3.7.2(213)</vt:lpstr>
      <vt:lpstr>3.8.1</vt:lpstr>
      <vt:lpstr>3.8.2(проезд)</vt:lpstr>
      <vt:lpstr>3.9</vt:lpstr>
      <vt:lpstr>3.10(госпошлина)</vt:lpstr>
      <vt:lpstr>3.11</vt:lpstr>
      <vt:lpstr>3.12(проезд)</vt:lpstr>
      <vt:lpstr>3.13.1</vt:lpstr>
      <vt:lpstr>3.13.2(221)</vt:lpstr>
      <vt:lpstr>3.13.3</vt:lpstr>
      <vt:lpstr>3.13.4(223)</vt:lpstr>
      <vt:lpstr>3.13.5</vt:lpstr>
      <vt:lpstr>3.13.6(225)</vt:lpstr>
      <vt:lpstr>3.13.7</vt:lpstr>
      <vt:lpstr>3.13.8(обуч)</vt:lpstr>
      <vt:lpstr>3.13.9(226)</vt:lpstr>
      <vt:lpstr>3.13.10(310)</vt:lpstr>
      <vt:lpstr>3.13.11(340)</vt:lpstr>
      <vt:lpstr>Лист1</vt:lpstr>
      <vt:lpstr>'3.10(госпошлина)'!Область_печати</vt:lpstr>
      <vt:lpstr>'3.12(проезд)'!Область_печати</vt:lpstr>
      <vt:lpstr>'3.13.1'!Область_печати</vt:lpstr>
      <vt:lpstr>'3.13.10(310)'!Область_печати</vt:lpstr>
      <vt:lpstr>'3.13.11(340)'!Область_печати</vt:lpstr>
      <vt:lpstr>'3.13.2(221)'!Область_печати</vt:lpstr>
      <vt:lpstr>'3.13.4(223)'!Область_печати</vt:lpstr>
      <vt:lpstr>'3.13.6(225)'!Область_печати</vt:lpstr>
      <vt:lpstr>'3.13.8(обуч)'!Область_печати</vt:lpstr>
      <vt:lpstr>'3.13.9(226)'!Область_печати</vt:lpstr>
      <vt:lpstr>'3.2.2'!Область_печати</vt:lpstr>
      <vt:lpstr>'3.2.4(кр)'!Область_печати</vt:lpstr>
      <vt:lpstr>'3.4.1'!Область_печати</vt:lpstr>
      <vt:lpstr>'3.6.3(211)'!Область_печати</vt:lpstr>
      <vt:lpstr>'3.6.4'!Область_печати</vt:lpstr>
      <vt:lpstr>'3.6.5'!Область_печати</vt:lpstr>
      <vt:lpstr>'3.7.2(213)'!Область_печати</vt:lpstr>
      <vt:lpstr>'3.8.1'!Область_печати</vt:lpstr>
      <vt:lpstr>'3.8.2(проезд)'!Область_печати</vt:lpstr>
      <vt:lpstr>Р.1!Область_печати</vt:lpstr>
      <vt:lpstr>Р.2!Область_печати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Руководитель</dc:creator>
  <cp:lastModifiedBy>Пользователь Windows</cp:lastModifiedBy>
  <cp:lastPrinted>2022-01-28T09:14:30Z</cp:lastPrinted>
  <dcterms:created xsi:type="dcterms:W3CDTF">2020-01-22T04:17:51Z</dcterms:created>
  <dcterms:modified xsi:type="dcterms:W3CDTF">2022-01-28T09:17:59Z</dcterms:modified>
</cp:coreProperties>
</file>